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JFOSHARE\Tax Structure Commission\Meeting Documents\10-22-20\"/>
    </mc:Choice>
  </mc:AlternateContent>
  <xr:revisionPtr revIDLastSave="0" documentId="14_{2C519127-1296-41F9-A611-E056B1C86088}" xr6:coauthVersionLast="44" xr6:coauthVersionMax="44" xr10:uidLastSave="{00000000-0000-0000-0000-000000000000}"/>
  <bookViews>
    <workbookView xWindow="25080" yWindow="-120" windowWidth="29040" windowHeight="15840" tabRatio="613" xr2:uid="{CB44566F-55D4-4CCE-AE4B-5BA7EE2BF5F5}"/>
  </bookViews>
  <sheets>
    <sheet name="Notes" sheetId="5" r:id="rId1"/>
    <sheet name="Rate Calculator" sheetId="3" r:id="rId2"/>
    <sheet name="Home energy" sheetId="4" r:id="rId3"/>
    <sheet name="Health care data" sheetId="2"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3" l="1"/>
  <c r="E45" i="3"/>
  <c r="G18" i="3"/>
  <c r="H18" i="3"/>
  <c r="E18" i="3"/>
  <c r="G23" i="3"/>
  <c r="H23" i="3"/>
  <c r="E23" i="3"/>
  <c r="G24" i="3"/>
  <c r="H24" i="3"/>
  <c r="E24" i="3"/>
  <c r="G25" i="3"/>
  <c r="H25" i="3"/>
  <c r="E25" i="3"/>
  <c r="G26" i="3"/>
  <c r="H26" i="3"/>
  <c r="E26" i="3"/>
  <c r="G27" i="3"/>
  <c r="H27" i="3"/>
  <c r="E27" i="3"/>
  <c r="G28" i="3"/>
  <c r="H28" i="3"/>
  <c r="E28" i="3"/>
  <c r="G29" i="3"/>
  <c r="H29" i="3"/>
  <c r="E29" i="3"/>
  <c r="G30" i="3"/>
  <c r="H30" i="3"/>
  <c r="E30" i="3"/>
  <c r="G31" i="3"/>
  <c r="H31" i="3"/>
  <c r="E31" i="3"/>
  <c r="G32" i="3"/>
  <c r="H32" i="3"/>
  <c r="E32" i="3"/>
  <c r="G35" i="3"/>
  <c r="H35" i="3"/>
  <c r="E35" i="3"/>
  <c r="G36" i="3"/>
  <c r="H36" i="3"/>
  <c r="E36" i="3"/>
  <c r="G37" i="3"/>
  <c r="H37" i="3"/>
  <c r="E37" i="3"/>
  <c r="G38" i="3"/>
  <c r="H38" i="3"/>
  <c r="E38" i="3"/>
  <c r="G39" i="3"/>
  <c r="H39" i="3"/>
  <c r="E39" i="3"/>
  <c r="E46" i="3"/>
  <c r="E48" i="3"/>
  <c r="D46" i="3"/>
  <c r="D48" i="3"/>
  <c r="C41" i="3"/>
  <c r="E4" i="3"/>
  <c r="C24" i="2"/>
  <c r="E3" i="3"/>
  <c r="H3" i="3"/>
  <c r="H2" i="3"/>
  <c r="E2" i="3"/>
  <c r="D4" i="2"/>
  <c r="D5" i="2"/>
  <c r="D6" i="2"/>
  <c r="D7" i="2"/>
  <c r="D9" i="2"/>
  <c r="D10" i="2"/>
  <c r="D19" i="2"/>
  <c r="E41" i="3"/>
  <c r="G19" i="3"/>
  <c r="H19" i="3"/>
  <c r="E19" i="3"/>
  <c r="G20" i="3"/>
  <c r="H20" i="3"/>
  <c r="E20" i="3"/>
  <c r="E4" i="4"/>
  <c r="F4" i="4"/>
  <c r="J4" i="4"/>
  <c r="F12" i="4"/>
  <c r="J5" i="4"/>
  <c r="H6" i="4"/>
  <c r="H2" i="4"/>
  <c r="F2" i="4"/>
  <c r="F3" i="4"/>
  <c r="F5" i="4"/>
  <c r="F6" i="4"/>
  <c r="F7" i="4"/>
  <c r="F8" i="4"/>
  <c r="F9" i="4"/>
  <c r="F10" i="4"/>
  <c r="F11" i="4"/>
  <c r="E12" i="4"/>
  <c r="E3" i="4"/>
  <c r="E5" i="4"/>
  <c r="E6" i="4"/>
  <c r="E7" i="4"/>
  <c r="E8" i="4"/>
  <c r="E9" i="4"/>
  <c r="E10" i="4"/>
  <c r="E11" i="4"/>
  <c r="E2" i="4"/>
  <c r="B3" i="4"/>
  <c r="B4" i="4"/>
  <c r="B5" i="4"/>
  <c r="B6" i="4"/>
  <c r="B7" i="4"/>
  <c r="B8" i="4"/>
  <c r="B9" i="4"/>
  <c r="B10" i="4"/>
  <c r="B11" i="4"/>
  <c r="B2" i="4"/>
  <c r="J20" i="4"/>
  <c r="I20" i="4"/>
  <c r="G20" i="4"/>
  <c r="H19" i="4"/>
  <c r="H18" i="4"/>
  <c r="H17" i="4"/>
  <c r="H16" i="4"/>
  <c r="H15" i="4"/>
  <c r="F19" i="4"/>
  <c r="F18" i="4"/>
  <c r="F17" i="4"/>
  <c r="F16" i="4"/>
  <c r="F15" i="4"/>
  <c r="I16" i="4"/>
  <c r="I19" i="4"/>
  <c r="G19" i="4"/>
  <c r="G16" i="4"/>
  <c r="E16" i="4"/>
  <c r="E19" i="4"/>
  <c r="D2" i="4"/>
  <c r="D3" i="4"/>
  <c r="D4" i="4"/>
  <c r="D5" i="4"/>
  <c r="D6" i="4"/>
  <c r="D7" i="4"/>
  <c r="D8" i="4"/>
  <c r="D9" i="4"/>
  <c r="D10" i="4"/>
  <c r="D11" i="4"/>
  <c r="D12" i="4"/>
  <c r="C12" i="4"/>
</calcChain>
</file>

<file path=xl/sharedStrings.xml><?xml version="1.0" encoding="utf-8"?>
<sst xmlns="http://schemas.openxmlformats.org/spreadsheetml/2006/main" count="129" uniqueCount="100">
  <si>
    <t>Education</t>
  </si>
  <si>
    <t>Hospitals</t>
  </si>
  <si>
    <t>Nursing Homes</t>
  </si>
  <si>
    <t>Home Health</t>
  </si>
  <si>
    <t>Intermediate Care Facilities</t>
  </si>
  <si>
    <t>Pharmacy</t>
  </si>
  <si>
    <t>Ambulance</t>
  </si>
  <si>
    <t>2017 rate</t>
  </si>
  <si>
    <t>2017 tax</t>
  </si>
  <si>
    <t>BCBS avg script: $66</t>
  </si>
  <si>
    <t>2MM scripts, $132 million total</t>
  </si>
  <si>
    <t>51% of Vermonters covered by private insurance</t>
  </si>
  <si>
    <t>BCBSVT 2/3, MVP 1/3</t>
  </si>
  <si>
    <t>*</t>
  </si>
  <si>
    <t>*10 c/script</t>
  </si>
  <si>
    <t>Choose 1, or leave blank</t>
  </si>
  <si>
    <t>Total sales tax  raised in 2019 at 6%:</t>
  </si>
  <si>
    <t>Provider taxes</t>
  </si>
  <si>
    <t>Category II: Services not currently subject to sales tax</t>
  </si>
  <si>
    <t>Category I: Health care goods and services, not currently subject to sales tax</t>
  </si>
  <si>
    <t>Category III: Goods not currently subject to sales tax</t>
  </si>
  <si>
    <t>New rate to raise the same amount as 2019, assuming 2019-level revenue:</t>
  </si>
  <si>
    <t>Sales Tax Rate Calculator With Different Categories Included In The Base</t>
  </si>
  <si>
    <t>Instructions</t>
  </si>
  <si>
    <t>3. To remove an "x", hit the delete key</t>
  </si>
  <si>
    <t>Household Services (Note 5)</t>
  </si>
  <si>
    <t>Notes</t>
  </si>
  <si>
    <t>Total</t>
  </si>
  <si>
    <t>2. For the other categories, put a lowercase "x" in the yellow box for each category you'd like to include in the sales tax</t>
  </si>
  <si>
    <t>Health care subject to provider tax</t>
  </si>
  <si>
    <t>x</t>
  </si>
  <si>
    <t>https://accd.vermont.gov/sites/accdnew/files/documents/DED/CEDS/CEDS2020FullReport.pdf</t>
  </si>
  <si>
    <t>Excluding preK-12, public schools</t>
  </si>
  <si>
    <t>Heating oil</t>
  </si>
  <si>
    <t>Kerosene</t>
  </si>
  <si>
    <t>Propane</t>
  </si>
  <si>
    <t>https://publicservice.vermont.gov/publications-resources/publications/fuel_report</t>
  </si>
  <si>
    <t>Natural gas</t>
  </si>
  <si>
    <t>electricity</t>
  </si>
  <si>
    <t>https://vermontbiz.com/news/2019/august/16/nearly-6-out-10-vermont-households-heat-petroleum</t>
  </si>
  <si>
    <t>Assumes same % of LIV spending in non-provider tax health care as in overall health care.</t>
  </si>
  <si>
    <t>LIV portion of spending</t>
  </si>
  <si>
    <t>Avg for services for which we have data</t>
  </si>
  <si>
    <t>Source for portion by low-income Vermonters</t>
  </si>
  <si>
    <t>Total spending</t>
  </si>
  <si>
    <t>Lowest 30%</t>
  </si>
  <si>
    <t>all</t>
  </si>
  <si>
    <t>no prov</t>
  </si>
  <si>
    <t>LIV</t>
  </si>
  <si>
    <t>2017 implied revenue</t>
  </si>
  <si>
    <t>*10 cents/prescription, at BCBSVT's average of $66/prescription</t>
  </si>
  <si>
    <r>
      <t>All patient health care,</t>
    </r>
    <r>
      <rPr>
        <b/>
        <sz val="11"/>
        <color theme="1"/>
        <rFont val="Calibri"/>
        <family val="2"/>
        <scheme val="minor"/>
      </rPr>
      <t xml:space="preserve"> in addition</t>
    </r>
    <r>
      <rPr>
        <sz val="11"/>
        <color theme="1"/>
        <rFont val="Calibri"/>
        <family val="2"/>
        <scheme val="minor"/>
      </rPr>
      <t xml:space="preserve"> to the provider tax (Note 1), OR</t>
    </r>
  </si>
  <si>
    <r>
      <t xml:space="preserve">All patient health care, </t>
    </r>
    <r>
      <rPr>
        <b/>
        <sz val="11"/>
        <color theme="1"/>
        <rFont val="Calibri"/>
        <family val="2"/>
        <scheme val="minor"/>
      </rPr>
      <t>replacing</t>
    </r>
    <r>
      <rPr>
        <sz val="11"/>
        <color theme="1"/>
        <rFont val="Calibri"/>
        <family val="2"/>
        <scheme val="minor"/>
      </rPr>
      <t xml:space="preserve"> the provider tax (Note 2), OR</t>
    </r>
  </si>
  <si>
    <t>Only patient health care not subject to the provider tax (Note 3)</t>
  </si>
  <si>
    <t>1. From "The Economic Incidence of Health Care Spending in Vermont," RAND, 2015. To be conservative, we have excluded the "Other" category, as some of it may be federal and state spending that is ineligible for taxes.</t>
  </si>
  <si>
    <t>2. Ibid, and “Provider Taxes Overview,” Langweil &amp; Carbee, JFO and OLC, January 26, 2017</t>
  </si>
  <si>
    <t>3. This number equals the adjusted total health care number above, minus the total spend on services from provider-tax providers, as calculated from “Provider Taxes Overview,” Langweil &amp; Carbee, JFO and CLO, January 26, 2017.</t>
  </si>
  <si>
    <t>Education (Note 4)</t>
  </si>
  <si>
    <t xml:space="preserve">4. Bureau of Economic Analysis, https://apps.bea.gov/iTable/iTable.cfm?reqid=70&amp;step=1&amp;isuri=1&amp;acrdn=4#reqid=70&amp;step=1&amp;isuri=1 </t>
  </si>
  <si>
    <t>Hair, Skin, &amp; Nails (Note 5)</t>
  </si>
  <si>
    <t>Veterinary services (Note 5)</t>
  </si>
  <si>
    <t>Funeral (Note 5)</t>
  </si>
  <si>
    <t>Travel (Note 5)</t>
  </si>
  <si>
    <t>Groceries (Note 6)</t>
  </si>
  <si>
    <t>Residential energy (Note 6)</t>
  </si>
  <si>
    <t>Clothing (Note 6)</t>
  </si>
  <si>
    <t>5. "Sales Tax on Services Study," Vermont Dept of Taxes, 2015.</t>
  </si>
  <si>
    <t>Sales of mobile/modular homes (Note 6)</t>
  </si>
  <si>
    <t>6. 2019 Vermont Tax Expenditure Report</t>
  </si>
  <si>
    <t>Current base</t>
  </si>
  <si>
    <t>Proposed new base</t>
  </si>
  <si>
    <t>7. Includes general repair, services at dealerships, body, paint, interior, oil changes, glass replacement, washing, towing, etc.</t>
  </si>
  <si>
    <t>Automotive services (Notes 5,7)</t>
  </si>
  <si>
    <t>Services not related to personal property, (Notes 5,8)</t>
  </si>
  <si>
    <t>Proposed new rate</t>
  </si>
  <si>
    <t>Incremental revenue beyond current revenue</t>
  </si>
  <si>
    <t>Protection for low-income Vermonters?</t>
  </si>
  <si>
    <t>No</t>
  </si>
  <si>
    <t>Yes</t>
  </si>
  <si>
    <t>Choose your rate: change only the yellow cell, after you've selected the categories above.</t>
  </si>
  <si>
    <t>Total, holding low-income VTers  harmless</t>
  </si>
  <si>
    <t>Low-income VTers (28%)</t>
  </si>
  <si>
    <t>$ by low-income Vters</t>
  </si>
  <si>
    <t>13. https://www.bls.gov/cex/2019/aggregate/decile.pdf -- state-level data not available, assumes Vermont mirrors national data.</t>
  </si>
  <si>
    <t>Note 13</t>
  </si>
  <si>
    <t>Professional services (Note 5.9)</t>
  </si>
  <si>
    <t>8. Landscaping, fitness centers, limo services, sports instruction, educational support services, etc.</t>
  </si>
  <si>
    <t>9. Legal services, accounting services, engineering services, etc.</t>
  </si>
  <si>
    <t>10.  Self-storage, pet care (not veterinary), repair of household goods/appliances/electronics/furniture, RV parks, drycleaning, heating oil dealers, parking garages, marinas, formal wear rental, etc.</t>
  </si>
  <si>
    <t>11. Subscriptions to newspapers, extermination services, janitorial services, snowplowing, carpet cleaning, solid waste collection, etc.</t>
  </si>
  <si>
    <t>12. Assumes all sales of mobile homes are to the lowest-income 28% of Vermonters</t>
  </si>
  <si>
    <t>Related to personal property besides cars (Notes 5,10)</t>
  </si>
  <si>
    <t>Newspapers (Note 6,11)</t>
  </si>
  <si>
    <t>Note 12</t>
  </si>
  <si>
    <t>1. For health care, choose only one (or none) of the three options with the orange boxes, by putting a lowercase "x" in the box.</t>
  </si>
  <si>
    <t>4. Tax rate necessary to raise the same amount of sales tax as in 2019, assuming 2019 sales levels, and assuming no protection for low-income Vermonters, appears at the bottom in cell C41</t>
  </si>
  <si>
    <t>5. Tax rate necessary to raise the same amount of sales tax as in 2019, assuming 2019 sales levels, and assuming full protection for low-income Vermoners, appears at the bottom in cell E41</t>
  </si>
  <si>
    <t xml:space="preserve">6. Once you have chosen all the categories to include, you can input a tax rate in cell D47, and cells D48 and E48 will tell you how much additional revenue, compared to 2019, </t>
  </si>
  <si>
    <t>that combination of categories and rate will raise. D48 assumes low-income Vermonters pay the tax on new categories, E48 assumes they are fully protected from the tax.</t>
  </si>
  <si>
    <t>7. Do not change anything 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</si>
</sst>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0.000%"/>
    <numFmt numFmtId="166" formatCode="&quot;$&quot;#,##0.00"/>
    <numFmt numFmtId="167" formatCode="&quot;$&quot;#,##0.0"/>
    <numFmt numFmtId="168"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indexed="8"/>
      <name val="Calibri"/>
      <family val="2"/>
      <scheme val="minor"/>
    </font>
    <font>
      <sz val="9"/>
      <name val="Arial"/>
      <family val="2"/>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4" fillId="0" borderId="0"/>
  </cellStyleXfs>
  <cellXfs count="81">
    <xf numFmtId="0" fontId="0" fillId="0" borderId="0" xfId="0"/>
    <xf numFmtId="0" fontId="0" fillId="0" borderId="0" xfId="0" applyAlignment="1">
      <alignment horizontal="right"/>
    </xf>
    <xf numFmtId="164" fontId="0" fillId="0" borderId="0" xfId="0" applyNumberFormat="1"/>
    <xf numFmtId="0" fontId="0" fillId="0" borderId="0" xfId="0" applyAlignment="1">
      <alignment horizontal="left"/>
    </xf>
    <xf numFmtId="0" fontId="0" fillId="0" borderId="0" xfId="0" applyFill="1"/>
    <xf numFmtId="0" fontId="0" fillId="0" borderId="3" xfId="0" applyBorder="1" applyAlignment="1">
      <alignment horizontal="right"/>
    </xf>
    <xf numFmtId="164" fontId="0" fillId="0" borderId="4" xfId="0" applyNumberFormat="1" applyBorder="1"/>
    <xf numFmtId="0" fontId="0" fillId="0" borderId="0" xfId="0" applyBorder="1" applyAlignment="1">
      <alignment horizontal="right"/>
    </xf>
    <xf numFmtId="164" fontId="0" fillId="0" borderId="6" xfId="0" applyNumberFormat="1" applyBorder="1"/>
    <xf numFmtId="0" fontId="0" fillId="0" borderId="8" xfId="0" applyBorder="1" applyAlignment="1">
      <alignment horizontal="right"/>
    </xf>
    <xf numFmtId="164" fontId="0" fillId="0" borderId="9" xfId="0" applyNumberFormat="1" applyBorder="1"/>
    <xf numFmtId="0" fontId="0" fillId="0" borderId="0" xfId="0" applyFill="1" applyBorder="1" applyAlignment="1">
      <alignment horizontal="right"/>
    </xf>
    <xf numFmtId="0" fontId="2" fillId="0" borderId="0" xfId="0" applyFont="1"/>
    <xf numFmtId="0" fontId="0" fillId="0" borderId="0" xfId="0" applyFill="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2" borderId="10" xfId="0" applyFill="1" applyBorder="1" applyAlignment="1">
      <alignment horizontal="center" vertical="center"/>
    </xf>
    <xf numFmtId="0" fontId="2" fillId="0" borderId="2" xfId="0" applyFont="1"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8" xfId="0" applyFill="1" applyBorder="1" applyAlignment="1">
      <alignment horizontal="right"/>
    </xf>
    <xf numFmtId="0" fontId="0" fillId="0" borderId="0" xfId="0" applyBorder="1"/>
    <xf numFmtId="0" fontId="0" fillId="0" borderId="0" xfId="0" applyFill="1" applyBorder="1" applyAlignment="1">
      <alignment horizontal="center" vertical="center"/>
    </xf>
    <xf numFmtId="164" fontId="0" fillId="0" borderId="0" xfId="0" applyNumberFormat="1" applyBorder="1"/>
    <xf numFmtId="0" fontId="0" fillId="0" borderId="3" xfId="0" applyFill="1" applyBorder="1" applyAlignment="1">
      <alignment horizontal="right"/>
    </xf>
    <xf numFmtId="0" fontId="0" fillId="0" borderId="3"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2" fillId="0" borderId="14" xfId="0" applyFont="1" applyBorder="1" applyAlignment="1">
      <alignment horizontal="right"/>
    </xf>
    <xf numFmtId="165" fontId="2" fillId="0" borderId="1" xfId="1" applyNumberFormat="1" applyFont="1" applyBorder="1" applyAlignment="1">
      <alignment horizontal="center"/>
    </xf>
    <xf numFmtId="0" fontId="2" fillId="0" borderId="15" xfId="0" applyFont="1" applyBorder="1"/>
    <xf numFmtId="0" fontId="0" fillId="0" borderId="6" xfId="0" applyBorder="1"/>
    <xf numFmtId="0" fontId="0" fillId="0" borderId="8" xfId="0" applyBorder="1"/>
    <xf numFmtId="9" fontId="0" fillId="0" borderId="10" xfId="0" applyNumberFormat="1" applyBorder="1"/>
    <xf numFmtId="164" fontId="0" fillId="0" borderId="10" xfId="0" applyNumberFormat="1" applyBorder="1"/>
    <xf numFmtId="10" fontId="0" fillId="0" borderId="10" xfId="0" applyNumberFormat="1" applyBorder="1"/>
    <xf numFmtId="0" fontId="0" fillId="0" borderId="10" xfId="0" applyBorder="1" applyAlignment="1">
      <alignment horizontal="right"/>
    </xf>
    <xf numFmtId="6" fontId="0" fillId="0" borderId="0" xfId="0" applyNumberFormat="1"/>
    <xf numFmtId="164" fontId="0" fillId="0" borderId="0" xfId="0" applyNumberFormat="1" applyAlignment="1">
      <alignment horizontal="right"/>
    </xf>
    <xf numFmtId="164" fontId="0" fillId="0" borderId="0" xfId="0" applyNumberFormat="1" applyAlignment="1">
      <alignment horizontal="center"/>
    </xf>
    <xf numFmtId="9" fontId="0" fillId="0" borderId="0" xfId="0" applyNumberFormat="1"/>
    <xf numFmtId="168" fontId="0" fillId="0" borderId="0" xfId="0" applyNumberFormat="1"/>
    <xf numFmtId="166" fontId="0" fillId="0" borderId="0" xfId="0" applyNumberFormat="1"/>
    <xf numFmtId="167" fontId="0" fillId="0" borderId="0" xfId="0" applyNumberFormat="1"/>
    <xf numFmtId="0" fontId="0" fillId="0" borderId="0" xfId="0" applyFill="1" applyBorder="1"/>
    <xf numFmtId="0" fontId="2" fillId="0" borderId="15" xfId="0" applyFont="1" applyBorder="1" applyAlignment="1">
      <alignment horizontal="left"/>
    </xf>
    <xf numFmtId="164" fontId="0" fillId="4" borderId="0" xfId="0" applyNumberFormat="1" applyFill="1" applyBorder="1"/>
    <xf numFmtId="165" fontId="0" fillId="0" borderId="0" xfId="1" applyNumberFormat="1" applyFont="1"/>
    <xf numFmtId="164" fontId="0" fillId="5" borderId="0" xfId="0" applyNumberFormat="1" applyFill="1" applyBorder="1"/>
    <xf numFmtId="168" fontId="0" fillId="5" borderId="0" xfId="0" applyNumberFormat="1" applyFill="1"/>
    <xf numFmtId="10" fontId="0" fillId="5" borderId="0" xfId="0" applyNumberFormat="1" applyFill="1"/>
    <xf numFmtId="164" fontId="0" fillId="0" borderId="0" xfId="2" applyNumberFormat="1" applyFont="1"/>
    <xf numFmtId="164" fontId="0" fillId="0" borderId="6" xfId="0" applyNumberFormat="1" applyBorder="1" applyAlignment="1">
      <alignment horizontal="right"/>
    </xf>
    <xf numFmtId="164" fontId="0" fillId="0" borderId="6" xfId="0" applyNumberFormat="1" applyFill="1" applyBorder="1"/>
    <xf numFmtId="0" fontId="0" fillId="0" borderId="0" xfId="0" applyBorder="1" applyAlignment="1">
      <alignment horizontal="center"/>
    </xf>
    <xf numFmtId="10" fontId="0" fillId="0" borderId="12" xfId="0" applyNumberFormat="1" applyBorder="1"/>
    <xf numFmtId="164" fontId="0" fillId="0" borderId="12" xfId="0" applyNumberFormat="1" applyBorder="1"/>
    <xf numFmtId="0" fontId="0" fillId="0" borderId="16" xfId="0" applyBorder="1"/>
    <xf numFmtId="164" fontId="0" fillId="0" borderId="17" xfId="0" applyNumberFormat="1" applyBorder="1"/>
    <xf numFmtId="0" fontId="0" fillId="0" borderId="18" xfId="0" applyBorder="1"/>
    <xf numFmtId="164" fontId="0" fillId="0" borderId="19" xfId="0" applyNumberFormat="1" applyBorder="1"/>
    <xf numFmtId="165" fontId="2" fillId="0" borderId="0" xfId="1" applyNumberFormat="1" applyFont="1"/>
    <xf numFmtId="164" fontId="0" fillId="0" borderId="10" xfId="0" applyNumberFormat="1" applyBorder="1" applyAlignment="1">
      <alignment horizontal="right"/>
    </xf>
    <xf numFmtId="164" fontId="0" fillId="0" borderId="10" xfId="0" applyNumberFormat="1" applyBorder="1" applyAlignment="1">
      <alignment horizontal="center"/>
    </xf>
    <xf numFmtId="164" fontId="0" fillId="0" borderId="11" xfId="0" applyNumberFormat="1" applyBorder="1"/>
    <xf numFmtId="166" fontId="0" fillId="0" borderId="21" xfId="0" applyNumberFormat="1" applyBorder="1"/>
    <xf numFmtId="166" fontId="0" fillId="0" borderId="17" xfId="0" applyNumberFormat="1" applyBorder="1" applyAlignment="1">
      <alignment horizontal="center"/>
    </xf>
    <xf numFmtId="164" fontId="0" fillId="0" borderId="17" xfId="0" applyNumberFormat="1" applyBorder="1" applyAlignment="1"/>
    <xf numFmtId="10" fontId="0" fillId="0" borderId="17" xfId="1" applyNumberFormat="1" applyFont="1" applyBorder="1"/>
    <xf numFmtId="164" fontId="0" fillId="0" borderId="12" xfId="0" applyNumberFormat="1" applyBorder="1" applyAlignment="1">
      <alignment horizontal="right"/>
    </xf>
    <xf numFmtId="10" fontId="0" fillId="2" borderId="10" xfId="1" applyNumberFormat="1" applyFont="1" applyFill="1" applyBorder="1"/>
    <xf numFmtId="0" fontId="2" fillId="0" borderId="20" xfId="0" applyFont="1" applyFill="1" applyBorder="1" applyAlignment="1">
      <alignment horizontal="left"/>
    </xf>
    <xf numFmtId="0" fontId="0" fillId="0" borderId="0" xfId="0" applyAlignment="1">
      <alignment horizont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xf>
  </cellXfs>
  <cellStyles count="4">
    <cellStyle name="Currency" xfId="2" builtinId="4"/>
    <cellStyle name="Normal" xfId="0" builtinId="0"/>
    <cellStyle name="Normal 2" xfId="3" xr:uid="{0DF55772-7EE3-43E5-B60F-C50259A00C2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333375</xdr:colOff>
      <xdr:row>40</xdr:row>
      <xdr:rowOff>19050</xdr:rowOff>
    </xdr:to>
    <xdr:sp macro="" textlink="">
      <xdr:nvSpPr>
        <xdr:cNvPr id="2" name="TextBox 1">
          <a:extLst>
            <a:ext uri="{FF2B5EF4-FFF2-40B4-BE49-F238E27FC236}">
              <a16:creationId xmlns:a16="http://schemas.microsoft.com/office/drawing/2014/main" id="{83663983-31DA-40FC-BDD9-C6C6698718A0}"/>
            </a:ext>
          </a:extLst>
        </xdr:cNvPr>
        <xdr:cNvSpPr txBox="1"/>
      </xdr:nvSpPr>
      <xdr:spPr>
        <a:xfrm>
          <a:off x="0" y="190500"/>
          <a:ext cx="7648575" cy="744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DRAFT - as of</a:t>
          </a:r>
          <a:r>
            <a:rPr lang="en-US" sz="1800" b="1" u="sng" baseline="0"/>
            <a:t> 10/14/2020</a:t>
          </a:r>
          <a:endParaRPr lang="en-US" sz="1800" b="1" u="sng"/>
        </a:p>
        <a:p>
          <a:endParaRPr lang="en-US" sz="1100"/>
        </a:p>
        <a:p>
          <a:r>
            <a:rPr lang="en-US" sz="1100"/>
            <a:t>This draft calculator</a:t>
          </a:r>
          <a:r>
            <a:rPr lang="en-US" sz="1100" baseline="0"/>
            <a:t> was developed by Commissioner Kleppner to be used in commission deliberation related to the sales tax chapter. </a:t>
          </a:r>
        </a:p>
        <a:p>
          <a:endParaRPr lang="en-US" sz="1100" baseline="0"/>
        </a:p>
        <a:p>
          <a:r>
            <a:rPr lang="en-US" sz="1100" baseline="0"/>
            <a:t>The "rate calculator" tab includes a column that calculates based on holding low-income Vermonters harmless, and a section at the bottom that allows the user to choose a preferred sales tax rate in combination with a preferred sales tax base, and see the revenue implications.</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6D0F-68F2-4559-890C-D3F61BB6F152}">
  <dimension ref="A1"/>
  <sheetViews>
    <sheetView tabSelected="1" workbookViewId="0">
      <selection activeCell="A2" sqref="A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6456-9213-4157-9EA4-73FCDAF3A0A3}">
  <dimension ref="A1:T63"/>
  <sheetViews>
    <sheetView topLeftCell="A5" workbookViewId="0">
      <selection activeCell="A15" sqref="A15"/>
    </sheetView>
  </sheetViews>
  <sheetFormatPr defaultRowHeight="15" x14ac:dyDescent="0.25"/>
  <cols>
    <col min="1" max="1" width="10.28515625" customWidth="1"/>
    <col min="2" max="2" width="55.85546875" customWidth="1"/>
    <col min="3" max="3" width="17.28515625" customWidth="1"/>
    <col min="4" max="4" width="15.7109375" customWidth="1"/>
    <col min="5" max="5" width="17.42578125" customWidth="1"/>
    <col min="6" max="6" width="8.5703125" bestFit="1" customWidth="1"/>
    <col min="7" max="7" width="8.5703125" customWidth="1"/>
    <col min="8" max="8" width="14.5703125" bestFit="1" customWidth="1"/>
    <col min="9" max="9" width="74.85546875" bestFit="1" customWidth="1"/>
    <col min="11" max="11" width="7.140625" customWidth="1"/>
  </cols>
  <sheetData>
    <row r="1" spans="1:10" ht="24" hidden="1" customHeight="1" x14ac:dyDescent="0.25">
      <c r="E1" s="2">
        <v>6437000000</v>
      </c>
      <c r="H1" t="s">
        <v>48</v>
      </c>
      <c r="I1" t="s">
        <v>0</v>
      </c>
    </row>
    <row r="2" spans="1:10" ht="19.899999999999999" hidden="1" customHeight="1" x14ac:dyDescent="0.25">
      <c r="B2" s="1" t="s">
        <v>17</v>
      </c>
      <c r="D2" s="2">
        <v>153300000</v>
      </c>
      <c r="E2" s="54">
        <f>E1*0.06</f>
        <v>386220000</v>
      </c>
      <c r="F2" t="s">
        <v>46</v>
      </c>
      <c r="H2" s="54">
        <f>E1*G18*0.06</f>
        <v>65966376</v>
      </c>
      <c r="I2" t="s">
        <v>31</v>
      </c>
    </row>
    <row r="3" spans="1:10" ht="25.15" hidden="1" customHeight="1" x14ac:dyDescent="0.25">
      <c r="C3" s="1" t="s">
        <v>16</v>
      </c>
      <c r="D3" s="2">
        <v>389278000</v>
      </c>
      <c r="E3" s="2">
        <f>D20*0.06</f>
        <v>187824000</v>
      </c>
      <c r="F3" t="s">
        <v>47</v>
      </c>
      <c r="H3" s="46">
        <f>E3*G18</f>
        <v>32080339.200000003</v>
      </c>
      <c r="I3" s="40">
        <v>627000000</v>
      </c>
      <c r="J3" t="s">
        <v>32</v>
      </c>
    </row>
    <row r="4" spans="1:10" hidden="1" x14ac:dyDescent="0.25">
      <c r="C4" s="1"/>
      <c r="D4" s="2"/>
      <c r="E4" s="2">
        <f>D18-3306600000</f>
        <v>3130400000</v>
      </c>
    </row>
    <row r="5" spans="1:10" x14ac:dyDescent="0.25">
      <c r="A5" s="12" t="s">
        <v>22</v>
      </c>
      <c r="C5" s="1"/>
      <c r="D5" s="2"/>
    </row>
    <row r="6" spans="1:10" x14ac:dyDescent="0.25">
      <c r="C6" s="1"/>
      <c r="D6" s="2"/>
      <c r="E6" s="2"/>
    </row>
    <row r="7" spans="1:10" x14ac:dyDescent="0.25">
      <c r="A7" s="12" t="s">
        <v>23</v>
      </c>
      <c r="C7" s="1"/>
      <c r="D7" s="2"/>
      <c r="E7" s="2"/>
    </row>
    <row r="8" spans="1:10" x14ac:dyDescent="0.25">
      <c r="A8" t="s">
        <v>94</v>
      </c>
      <c r="C8" s="1"/>
      <c r="D8" s="2"/>
      <c r="E8" s="2"/>
    </row>
    <row r="9" spans="1:10" x14ac:dyDescent="0.25">
      <c r="A9" s="3" t="s">
        <v>28</v>
      </c>
    </row>
    <row r="10" spans="1:10" x14ac:dyDescent="0.25">
      <c r="A10" s="3" t="s">
        <v>24</v>
      </c>
    </row>
    <row r="11" spans="1:10" x14ac:dyDescent="0.25">
      <c r="A11" s="3" t="s">
        <v>95</v>
      </c>
    </row>
    <row r="12" spans="1:10" x14ac:dyDescent="0.25">
      <c r="A12" s="3" t="s">
        <v>96</v>
      </c>
    </row>
    <row r="13" spans="1:10" x14ac:dyDescent="0.25">
      <c r="A13" s="3" t="s">
        <v>97</v>
      </c>
    </row>
    <row r="14" spans="1:10" x14ac:dyDescent="0.25">
      <c r="B14" t="s">
        <v>98</v>
      </c>
    </row>
    <row r="15" spans="1:10" ht="14.45" customHeight="1" x14ac:dyDescent="0.25">
      <c r="A15" s="3" t="s">
        <v>99</v>
      </c>
      <c r="B15" s="1"/>
    </row>
    <row r="16" spans="1:10" ht="13.15" customHeight="1" x14ac:dyDescent="0.25">
      <c r="B16" s="1"/>
    </row>
    <row r="17" spans="1:20" ht="60.75" thickBot="1" x14ac:dyDescent="0.3">
      <c r="A17" s="12" t="s">
        <v>19</v>
      </c>
      <c r="B17" s="1"/>
      <c r="D17" t="s">
        <v>44</v>
      </c>
      <c r="E17" s="75" t="s">
        <v>80</v>
      </c>
      <c r="F17" s="75" t="s">
        <v>45</v>
      </c>
      <c r="G17" s="75" t="s">
        <v>81</v>
      </c>
      <c r="H17" s="75" t="s">
        <v>82</v>
      </c>
      <c r="I17" s="48" t="s">
        <v>43</v>
      </c>
    </row>
    <row r="18" spans="1:20" x14ac:dyDescent="0.25">
      <c r="A18" s="76" t="s">
        <v>15</v>
      </c>
      <c r="B18" s="5" t="s">
        <v>51</v>
      </c>
      <c r="C18" s="15" t="s">
        <v>30</v>
      </c>
      <c r="D18" s="6">
        <v>6437000000</v>
      </c>
      <c r="E18" s="51">
        <f>D18-H18</f>
        <v>5337560400</v>
      </c>
      <c r="F18" s="52">
        <v>0.183</v>
      </c>
      <c r="G18" s="44">
        <f>F18*(28/30)</f>
        <v>0.17080000000000001</v>
      </c>
      <c r="H18" s="42">
        <f>D18*G18</f>
        <v>1099439600</v>
      </c>
      <c r="I18" s="79" t="s">
        <v>84</v>
      </c>
      <c r="J18" s="80"/>
      <c r="K18" s="80"/>
      <c r="L18" s="80"/>
      <c r="M18" s="80"/>
      <c r="N18" s="80"/>
      <c r="O18" s="80"/>
      <c r="P18" s="80"/>
      <c r="Q18" s="80"/>
      <c r="R18" s="80"/>
      <c r="S18" s="80"/>
      <c r="T18" s="80"/>
    </row>
    <row r="19" spans="1:20" x14ac:dyDescent="0.25">
      <c r="A19" s="77"/>
      <c r="B19" s="7" t="s">
        <v>52</v>
      </c>
      <c r="C19" s="14"/>
      <c r="D19" s="8">
        <v>6437000000</v>
      </c>
      <c r="E19" s="51">
        <f>D19-H19</f>
        <v>5337560400</v>
      </c>
      <c r="F19" s="52">
        <v>0.183</v>
      </c>
      <c r="G19" s="44">
        <f t="shared" ref="G19:G39" si="0">F19*(28/30)</f>
        <v>0.17080000000000001</v>
      </c>
      <c r="H19" s="42">
        <f>D19*G19</f>
        <v>1099439600</v>
      </c>
      <c r="I19" s="79" t="s">
        <v>84</v>
      </c>
      <c r="J19" s="80"/>
      <c r="K19" s="80"/>
      <c r="L19" s="80"/>
      <c r="M19" s="80"/>
      <c r="N19" s="80"/>
      <c r="O19" s="80"/>
      <c r="P19" s="80"/>
      <c r="Q19" s="80"/>
      <c r="R19" s="80"/>
      <c r="S19" s="80"/>
      <c r="T19" s="80"/>
    </row>
    <row r="20" spans="1:20" ht="15.75" thickBot="1" x14ac:dyDescent="0.3">
      <c r="A20" s="78"/>
      <c r="B20" s="9" t="s">
        <v>53</v>
      </c>
      <c r="C20" s="16"/>
      <c r="D20" s="10">
        <v>3130400000</v>
      </c>
      <c r="E20" s="51">
        <f>D20-H20</f>
        <v>2595727680</v>
      </c>
      <c r="F20" s="52">
        <v>0.183</v>
      </c>
      <c r="G20" s="44">
        <f t="shared" si="0"/>
        <v>0.17080000000000001</v>
      </c>
      <c r="H20" s="42">
        <f>D20*G20</f>
        <v>534672320</v>
      </c>
      <c r="I20" t="s">
        <v>40</v>
      </c>
    </row>
    <row r="21" spans="1:20" ht="7.15" customHeight="1" thickBot="1" x14ac:dyDescent="0.3">
      <c r="F21" s="1"/>
      <c r="G21" s="44"/>
      <c r="H21" s="42"/>
      <c r="I21" s="4"/>
    </row>
    <row r="22" spans="1:20" x14ac:dyDescent="0.25">
      <c r="A22" s="18" t="s">
        <v>18</v>
      </c>
      <c r="B22" s="19"/>
      <c r="C22" s="19"/>
      <c r="D22" s="20"/>
      <c r="E22" s="24"/>
      <c r="F22" s="1"/>
      <c r="G22" s="44"/>
      <c r="H22" s="42"/>
      <c r="I22" s="4"/>
    </row>
    <row r="23" spans="1:20" x14ac:dyDescent="0.25">
      <c r="A23" s="21"/>
      <c r="B23" s="11" t="s">
        <v>57</v>
      </c>
      <c r="C23" s="17" t="s">
        <v>30</v>
      </c>
      <c r="D23" s="56">
        <v>984600000</v>
      </c>
      <c r="E23" s="51">
        <f t="shared" ref="E23:E32" si="1">D23-H23</f>
        <v>849512880</v>
      </c>
      <c r="F23" s="52">
        <v>0.14699999999999999</v>
      </c>
      <c r="G23" s="44">
        <f t="shared" si="0"/>
        <v>0.13719999999999999</v>
      </c>
      <c r="H23" s="42">
        <f t="shared" ref="H23:H32" si="2">D23*G23</f>
        <v>135087120</v>
      </c>
      <c r="I23" s="79" t="s">
        <v>84</v>
      </c>
      <c r="J23" s="80"/>
      <c r="K23" s="80"/>
      <c r="L23" s="80"/>
      <c r="M23" s="80"/>
      <c r="N23" s="80"/>
      <c r="O23" s="80"/>
      <c r="P23" s="80"/>
      <c r="Q23" s="80"/>
      <c r="R23" s="80"/>
      <c r="S23" s="80"/>
      <c r="T23" s="80"/>
    </row>
    <row r="24" spans="1:20" x14ac:dyDescent="0.25">
      <c r="A24" s="21"/>
      <c r="B24" s="11" t="s">
        <v>72</v>
      </c>
      <c r="C24" s="17" t="s">
        <v>30</v>
      </c>
      <c r="D24" s="8">
        <v>316000000</v>
      </c>
      <c r="E24" s="51">
        <f t="shared" si="1"/>
        <v>266746133.33333331</v>
      </c>
      <c r="F24" s="52">
        <v>0.16700000000000001</v>
      </c>
      <c r="G24" s="44">
        <f t="shared" si="0"/>
        <v>0.15586666666666668</v>
      </c>
      <c r="H24" s="42">
        <f t="shared" si="2"/>
        <v>49253866.666666672</v>
      </c>
      <c r="I24" s="79" t="s">
        <v>84</v>
      </c>
      <c r="J24" s="80"/>
      <c r="K24" s="80"/>
      <c r="L24" s="80"/>
      <c r="M24" s="80"/>
      <c r="N24" s="80"/>
      <c r="O24" s="80"/>
      <c r="P24" s="80"/>
      <c r="Q24" s="80"/>
      <c r="R24" s="80"/>
      <c r="S24" s="80"/>
      <c r="T24" s="80"/>
    </row>
    <row r="25" spans="1:20" x14ac:dyDescent="0.25">
      <c r="A25" s="21"/>
      <c r="B25" s="11" t="s">
        <v>73</v>
      </c>
      <c r="C25" s="17" t="s">
        <v>30</v>
      </c>
      <c r="D25" s="8">
        <v>283333000</v>
      </c>
      <c r="E25" s="49">
        <f t="shared" si="1"/>
        <v>243666380</v>
      </c>
      <c r="F25" s="44">
        <v>0.15</v>
      </c>
      <c r="G25" s="44">
        <f t="shared" si="0"/>
        <v>0.13999999999999999</v>
      </c>
      <c r="H25" s="42">
        <f t="shared" si="2"/>
        <v>39666619.999999993</v>
      </c>
      <c r="I25" s="4" t="s">
        <v>42</v>
      </c>
    </row>
    <row r="26" spans="1:20" x14ac:dyDescent="0.25">
      <c r="A26" s="21"/>
      <c r="B26" s="11" t="s">
        <v>85</v>
      </c>
      <c r="C26" s="17" t="s">
        <v>30</v>
      </c>
      <c r="D26" s="8">
        <v>143333000</v>
      </c>
      <c r="E26" s="49">
        <f t="shared" si="1"/>
        <v>123266380</v>
      </c>
      <c r="F26" s="44">
        <v>0.15</v>
      </c>
      <c r="G26" s="44">
        <f t="shared" si="0"/>
        <v>0.13999999999999999</v>
      </c>
      <c r="H26" s="42">
        <f t="shared" si="2"/>
        <v>20066619.999999996</v>
      </c>
      <c r="I26" s="4" t="s">
        <v>42</v>
      </c>
    </row>
    <row r="27" spans="1:20" x14ac:dyDescent="0.25">
      <c r="A27" s="21"/>
      <c r="B27" s="11" t="s">
        <v>91</v>
      </c>
      <c r="C27" s="17" t="s">
        <v>30</v>
      </c>
      <c r="D27" s="8">
        <v>133333000</v>
      </c>
      <c r="E27" s="49">
        <f t="shared" si="1"/>
        <v>114666380</v>
      </c>
      <c r="F27" s="44">
        <v>0.15</v>
      </c>
      <c r="G27" s="44">
        <f t="shared" si="0"/>
        <v>0.13999999999999999</v>
      </c>
      <c r="H27" s="42">
        <f t="shared" si="2"/>
        <v>18666619.999999996</v>
      </c>
      <c r="I27" s="4" t="s">
        <v>42</v>
      </c>
    </row>
    <row r="28" spans="1:20" x14ac:dyDescent="0.25">
      <c r="A28" s="21"/>
      <c r="B28" s="11" t="s">
        <v>59</v>
      </c>
      <c r="C28" s="17" t="s">
        <v>30</v>
      </c>
      <c r="D28" s="55">
        <v>125000000</v>
      </c>
      <c r="E28" s="49">
        <f t="shared" si="1"/>
        <v>106566666.66666667</v>
      </c>
      <c r="F28" s="44">
        <v>0.158</v>
      </c>
      <c r="G28" s="44">
        <f t="shared" si="0"/>
        <v>0.14746666666666666</v>
      </c>
      <c r="H28" s="42">
        <f t="shared" si="2"/>
        <v>18433333.333333332</v>
      </c>
      <c r="I28" s="79" t="s">
        <v>84</v>
      </c>
      <c r="J28" s="80"/>
      <c r="K28" s="80"/>
      <c r="L28" s="80"/>
      <c r="M28" s="80"/>
      <c r="N28" s="80"/>
      <c r="O28" s="80"/>
      <c r="P28" s="80"/>
      <c r="Q28" s="80"/>
      <c r="R28" s="80"/>
      <c r="S28" s="80"/>
      <c r="T28" s="80"/>
    </row>
    <row r="29" spans="1:20" x14ac:dyDescent="0.25">
      <c r="A29" s="21"/>
      <c r="B29" s="11" t="s">
        <v>60</v>
      </c>
      <c r="C29" s="17" t="s">
        <v>30</v>
      </c>
      <c r="D29" s="8">
        <v>83333000</v>
      </c>
      <c r="E29" s="49">
        <f t="shared" si="1"/>
        <v>71277492.666666672</v>
      </c>
      <c r="F29" s="44">
        <v>0.155</v>
      </c>
      <c r="G29" s="44">
        <f t="shared" si="0"/>
        <v>0.14466666666666667</v>
      </c>
      <c r="H29" s="42">
        <f t="shared" si="2"/>
        <v>12055507.333333334</v>
      </c>
      <c r="I29" s="79" t="s">
        <v>84</v>
      </c>
      <c r="J29" s="80"/>
      <c r="K29" s="80"/>
      <c r="L29" s="80"/>
      <c r="M29" s="80"/>
      <c r="N29" s="80"/>
      <c r="O29" s="80"/>
      <c r="P29" s="80"/>
      <c r="Q29" s="80"/>
      <c r="R29" s="80"/>
      <c r="S29" s="80"/>
      <c r="T29" s="80"/>
    </row>
    <row r="30" spans="1:20" x14ac:dyDescent="0.25">
      <c r="A30" s="21"/>
      <c r="B30" s="11" t="s">
        <v>25</v>
      </c>
      <c r="C30" s="17" t="s">
        <v>30</v>
      </c>
      <c r="D30" s="8">
        <v>75000000</v>
      </c>
      <c r="E30" s="49">
        <f t="shared" si="1"/>
        <v>70730000</v>
      </c>
      <c r="F30" s="44">
        <v>6.0999999999999999E-2</v>
      </c>
      <c r="G30" s="44">
        <f t="shared" si="0"/>
        <v>5.6933333333333336E-2</v>
      </c>
      <c r="H30" s="42">
        <f t="shared" si="2"/>
        <v>4270000</v>
      </c>
      <c r="I30" s="79" t="s">
        <v>84</v>
      </c>
      <c r="J30" s="80"/>
      <c r="K30" s="80"/>
      <c r="L30" s="80"/>
      <c r="M30" s="80"/>
      <c r="N30" s="80"/>
      <c r="O30" s="80"/>
      <c r="P30" s="80"/>
      <c r="Q30" s="80"/>
      <c r="R30" s="80"/>
      <c r="S30" s="80"/>
      <c r="T30" s="80"/>
    </row>
    <row r="31" spans="1:20" x14ac:dyDescent="0.25">
      <c r="A31" s="21"/>
      <c r="B31" s="11" t="s">
        <v>61</v>
      </c>
      <c r="C31" s="17" t="s">
        <v>30</v>
      </c>
      <c r="D31" s="8">
        <v>25000000</v>
      </c>
      <c r="E31" s="49">
        <f t="shared" si="1"/>
        <v>21500000</v>
      </c>
      <c r="F31" s="44">
        <v>0.15</v>
      </c>
      <c r="G31" s="44">
        <f t="shared" si="0"/>
        <v>0.13999999999999999</v>
      </c>
      <c r="H31" s="42">
        <f t="shared" si="2"/>
        <v>3499999.9999999995</v>
      </c>
      <c r="I31" s="47" t="s">
        <v>42</v>
      </c>
    </row>
    <row r="32" spans="1:20" ht="15.75" thickBot="1" x14ac:dyDescent="0.3">
      <c r="A32" s="22"/>
      <c r="B32" s="23" t="s">
        <v>62</v>
      </c>
      <c r="C32" s="29" t="s">
        <v>30</v>
      </c>
      <c r="D32" s="10">
        <v>16667000</v>
      </c>
      <c r="E32" s="49">
        <f t="shared" si="1"/>
        <v>14333620</v>
      </c>
      <c r="F32" s="44">
        <v>0.15</v>
      </c>
      <c r="G32" s="44">
        <f t="shared" si="0"/>
        <v>0.13999999999999999</v>
      </c>
      <c r="H32" s="42">
        <f t="shared" si="2"/>
        <v>2333379.9999999995</v>
      </c>
      <c r="I32" s="47" t="s">
        <v>42</v>
      </c>
    </row>
    <row r="33" spans="1:20" ht="7.15" customHeight="1" thickBot="1" x14ac:dyDescent="0.3">
      <c r="A33" s="24"/>
      <c r="B33" s="11"/>
      <c r="C33" s="25"/>
      <c r="D33" s="26"/>
      <c r="E33" s="26"/>
      <c r="G33" s="44"/>
      <c r="H33" s="42"/>
      <c r="I33" s="4"/>
    </row>
    <row r="34" spans="1:20" x14ac:dyDescent="0.25">
      <c r="A34" s="18" t="s">
        <v>20</v>
      </c>
      <c r="B34" s="27"/>
      <c r="C34" s="28"/>
      <c r="D34" s="6"/>
      <c r="E34" s="26"/>
      <c r="G34" s="44"/>
      <c r="H34" s="42"/>
      <c r="I34" s="4"/>
    </row>
    <row r="35" spans="1:20" x14ac:dyDescent="0.25">
      <c r="A35" s="21"/>
      <c r="B35" s="7" t="s">
        <v>63</v>
      </c>
      <c r="C35" s="17" t="s">
        <v>30</v>
      </c>
      <c r="D35" s="8">
        <v>2102500000</v>
      </c>
      <c r="E35" s="51">
        <f>D35-H35</f>
        <v>1729656666.6666665</v>
      </c>
      <c r="F35" s="52">
        <v>0.19</v>
      </c>
      <c r="G35" s="44">
        <f t="shared" si="0"/>
        <v>0.17733333333333334</v>
      </c>
      <c r="H35" s="42">
        <f>D35*G35</f>
        <v>372843333.33333337</v>
      </c>
      <c r="I35" s="79" t="s">
        <v>84</v>
      </c>
      <c r="J35" s="80"/>
      <c r="K35" s="80"/>
      <c r="L35" s="80"/>
      <c r="M35" s="80"/>
      <c r="N35" s="80"/>
      <c r="O35" s="80"/>
      <c r="P35" s="80"/>
      <c r="Q35" s="80"/>
      <c r="R35" s="80"/>
      <c r="S35" s="80"/>
      <c r="T35" s="80"/>
    </row>
    <row r="36" spans="1:20" x14ac:dyDescent="0.25">
      <c r="A36" s="21"/>
      <c r="B36" s="7" t="s">
        <v>64</v>
      </c>
      <c r="C36" s="17" t="s">
        <v>30</v>
      </c>
      <c r="D36" s="8">
        <v>702500000</v>
      </c>
      <c r="E36" s="51">
        <f>D36-H36</f>
        <v>570973266.66666663</v>
      </c>
      <c r="F36" s="52">
        <v>0.2006</v>
      </c>
      <c r="G36" s="44">
        <f t="shared" si="0"/>
        <v>0.18722666666666668</v>
      </c>
      <c r="H36" s="42">
        <f>D36*G36</f>
        <v>131526733.33333334</v>
      </c>
      <c r="I36" s="79" t="s">
        <v>84</v>
      </c>
      <c r="J36" s="80"/>
      <c r="K36" s="80"/>
      <c r="L36" s="80"/>
      <c r="M36" s="80"/>
      <c r="N36" s="80"/>
      <c r="O36" s="80"/>
      <c r="P36" s="80"/>
      <c r="Q36" s="80"/>
      <c r="R36" s="80"/>
      <c r="S36" s="80"/>
      <c r="T36" s="80"/>
    </row>
    <row r="37" spans="1:20" ht="14.45" customHeight="1" x14ac:dyDescent="0.25">
      <c r="A37" s="21"/>
      <c r="B37" s="7" t="s">
        <v>65</v>
      </c>
      <c r="C37" s="17" t="s">
        <v>30</v>
      </c>
      <c r="D37" s="8">
        <v>503333000</v>
      </c>
      <c r="E37" s="51">
        <f>D37-H37</f>
        <v>461992582.93333334</v>
      </c>
      <c r="F37" s="53">
        <v>8.7999999999999995E-2</v>
      </c>
      <c r="G37" s="44">
        <f t="shared" si="0"/>
        <v>8.2133333333333336E-2</v>
      </c>
      <c r="H37" s="42">
        <f>D37*G37</f>
        <v>41340417.06666667</v>
      </c>
      <c r="I37" s="79" t="s">
        <v>84</v>
      </c>
      <c r="J37" s="80"/>
      <c r="K37" s="80"/>
      <c r="L37" s="80"/>
      <c r="M37" s="80"/>
      <c r="N37" s="80"/>
      <c r="O37" s="80"/>
      <c r="P37" s="80"/>
      <c r="Q37" s="80"/>
      <c r="R37" s="80"/>
      <c r="S37" s="80"/>
      <c r="T37" s="80"/>
    </row>
    <row r="38" spans="1:20" x14ac:dyDescent="0.25">
      <c r="A38" s="21"/>
      <c r="B38" s="7" t="s">
        <v>92</v>
      </c>
      <c r="C38" s="17" t="s">
        <v>30</v>
      </c>
      <c r="D38" s="8">
        <v>39833000</v>
      </c>
      <c r="E38" s="26">
        <f>D38-H38</f>
        <v>34256380</v>
      </c>
      <c r="F38" s="43">
        <v>0.15</v>
      </c>
      <c r="G38" s="44">
        <f t="shared" si="0"/>
        <v>0.13999999999999999</v>
      </c>
      <c r="H38" s="42">
        <f>D38*G38</f>
        <v>5576619.9999999991</v>
      </c>
      <c r="I38" t="s">
        <v>42</v>
      </c>
    </row>
    <row r="39" spans="1:20" ht="15.75" thickBot="1" x14ac:dyDescent="0.3">
      <c r="A39" s="22"/>
      <c r="B39" s="9" t="s">
        <v>67</v>
      </c>
      <c r="C39" s="29" t="s">
        <v>30</v>
      </c>
      <c r="D39" s="10">
        <v>5000000</v>
      </c>
      <c r="E39" s="26">
        <f>D39-H39</f>
        <v>333333.33333333302</v>
      </c>
      <c r="F39" s="43">
        <v>1</v>
      </c>
      <c r="G39" s="44">
        <f t="shared" si="0"/>
        <v>0.93333333333333335</v>
      </c>
      <c r="H39" s="42">
        <f>D39*G39</f>
        <v>4666666.666666667</v>
      </c>
      <c r="I39" t="s">
        <v>93</v>
      </c>
    </row>
    <row r="40" spans="1:20" ht="6" customHeight="1" thickBot="1" x14ac:dyDescent="0.3">
      <c r="B40" s="1"/>
      <c r="C40" s="13"/>
      <c r="D40" s="2"/>
      <c r="E40" s="2"/>
      <c r="I40" s="4"/>
    </row>
    <row r="41" spans="1:20" ht="15.75" thickBot="1" x14ac:dyDescent="0.3">
      <c r="A41" s="30"/>
      <c r="B41" s="31" t="s">
        <v>21</v>
      </c>
      <c r="C41" s="32">
        <f>(D3+IF(C19="x",D2,0))/(D45+IF(C18="x",D18,0)+IF(C19="x",D19,0)+IF(C20="x",D20,0)+IF(C23="x",D23,0)+IF(C24="x",D24,0)+IF(C25="x",D25,0)+IF(C26="x",D26,0)+IF(C27="x",D27,0)+IF(C28="x",D28,0)+IF(C29="x",D29,0)+IF(C30="x",D30,0)+IF(C31="x",D31,0)+IF(C32="x",D32,0)+IF(C35="x",D35,0)+IF(C36="x",D36,0)+IF(C37="x",D37,0)+IF(C38="x",D38,0)+IF(C39="x",D39,0))</f>
        <v>2.1083387750828908E-2</v>
      </c>
      <c r="D41" s="50"/>
      <c r="E41" s="64">
        <f>(D3+IF(C19="x",D2,0))/(6487966000+IF(C18="x",E18,0)+IF(C19="x",E19,0)+IF(C20="x",E20,0)+IF(C23="x",E23,0)+IF(C24="x",E24,0)+IF(C25="x",E25,0)+IF(C26="x",E26,0)+IF(C27="x",E27,0)+IF(C28="x",E28,0)+IF(C29="x",E29,0)+IF(C30="x",E30,0)+IF(C31="x",E31,0)+IF(C32="x",E32,0)+IF(C35="x",E35,0)+IF(C36="x",E36,0)+IF(C37="x",E37,0)+IF(C38="x",E38,0)+IF(C39="x",E39,0))</f>
        <v>2.3585452432406943E-2</v>
      </c>
      <c r="H41" s="2"/>
      <c r="I41" s="45"/>
    </row>
    <row r="42" spans="1:20" ht="15.75" thickBot="1" x14ac:dyDescent="0.3">
      <c r="C42" s="2"/>
      <c r="D42" s="2"/>
      <c r="E42" s="45"/>
      <c r="H42" s="45"/>
    </row>
    <row r="43" spans="1:20" x14ac:dyDescent="0.25">
      <c r="B43" s="74" t="s">
        <v>79</v>
      </c>
      <c r="C43" s="67"/>
      <c r="D43" s="67"/>
      <c r="E43" s="68"/>
      <c r="H43" s="45"/>
    </row>
    <row r="44" spans="1:20" x14ac:dyDescent="0.25">
      <c r="B44" s="60"/>
      <c r="C44" s="65" t="s">
        <v>76</v>
      </c>
      <c r="D44" s="66" t="s">
        <v>77</v>
      </c>
      <c r="E44" s="69" t="s">
        <v>78</v>
      </c>
      <c r="H44" s="45"/>
    </row>
    <row r="45" spans="1:20" x14ac:dyDescent="0.25">
      <c r="B45" s="60"/>
      <c r="C45" s="65" t="s">
        <v>69</v>
      </c>
      <c r="D45" s="37">
        <v>6487966000</v>
      </c>
      <c r="E45" s="70">
        <f>D45</f>
        <v>6487966000</v>
      </c>
      <c r="H45" s="45"/>
    </row>
    <row r="46" spans="1:20" x14ac:dyDescent="0.25">
      <c r="B46" s="60"/>
      <c r="C46" s="65" t="s">
        <v>70</v>
      </c>
      <c r="D46" s="37">
        <f>(D45+IF(C18="x",D18,0)+IF(C19="x",D19,0)+IF(C20="x",D20,0)+IF(C23="x",D23,0)+IF(C24="x",D24,0)+IF(C25="x",D25,0)+IF(C26="x",D26,0)+IF(C27="x",D27,0)+IF(C28="x",D28,0)+IF(C29="x",D29,0)+IF(C30="x",D30,0)+IF(C31="x",D31,0)+IF(C32="x",D32,0)+IF(C35="x",D35,0)+IF(C36="x",D36,0)+IF(C37="x",D37,0)+IF(C38="x",D38,0)+IF(C39="x",D39,0))</f>
        <v>18463731000</v>
      </c>
      <c r="E46" s="61">
        <f>(E45+IF(C18="x",E18,0)+IF(C19="x",E19,0)+IF(C20="x",E20,0)+IF(C23="x",E23,0)+IF(C24="x",E24,0)+IF(C25="x",E25,0)+IF(C26="x",E26,0)+IF(C27="x",E27,0)+IF(C28="x",E28,0)+IF(C29="x",E29,0)+IF(C30="x",E30,0)+IF(C31="x",E31,0)+IF(C32="x",E32,0)+IF(C35="x",E35,0)+IF(C36="x",E36,0)+IF(C37="x",E37,0)+IF(C38="x",E38,0)+IF(C39="x",E39,0))</f>
        <v>16505004562.266665</v>
      </c>
      <c r="H46" s="45"/>
    </row>
    <row r="47" spans="1:20" x14ac:dyDescent="0.25">
      <c r="B47" s="60"/>
      <c r="C47" s="65" t="s">
        <v>74</v>
      </c>
      <c r="D47" s="73">
        <v>2.9000000000000001E-2</v>
      </c>
      <c r="E47" s="71">
        <f>D47</f>
        <v>2.9000000000000001E-2</v>
      </c>
      <c r="H47" s="45"/>
    </row>
    <row r="48" spans="1:20" ht="15.75" thickBot="1" x14ac:dyDescent="0.3">
      <c r="B48" s="62"/>
      <c r="C48" s="72" t="s">
        <v>75</v>
      </c>
      <c r="D48" s="59">
        <f>((D46*(1-D47))*D47)-D3</f>
        <v>130642201.22900003</v>
      </c>
      <c r="E48" s="63">
        <f>((E46*(1-E47))*E47)-D3</f>
        <v>75486423.468867004</v>
      </c>
      <c r="H48" s="45"/>
    </row>
    <row r="49" spans="1:8" x14ac:dyDescent="0.25">
      <c r="B49" s="41"/>
      <c r="C49" s="2"/>
      <c r="E49" s="45"/>
      <c r="H49" s="45"/>
    </row>
    <row r="50" spans="1:8" x14ac:dyDescent="0.25">
      <c r="A50" s="33" t="s">
        <v>26</v>
      </c>
      <c r="C50" s="2"/>
      <c r="D50" s="45"/>
      <c r="H50" s="45"/>
    </row>
    <row r="51" spans="1:8" x14ac:dyDescent="0.25">
      <c r="A51" t="s">
        <v>54</v>
      </c>
    </row>
    <row r="52" spans="1:8" x14ac:dyDescent="0.25">
      <c r="A52" t="s">
        <v>55</v>
      </c>
      <c r="H52" s="45"/>
    </row>
    <row r="53" spans="1:8" x14ac:dyDescent="0.25">
      <c r="A53" t="s">
        <v>56</v>
      </c>
    </row>
    <row r="54" spans="1:8" x14ac:dyDescent="0.25">
      <c r="A54" t="s">
        <v>58</v>
      </c>
    </row>
    <row r="55" spans="1:8" x14ac:dyDescent="0.25">
      <c r="A55" t="s">
        <v>66</v>
      </c>
    </row>
    <row r="56" spans="1:8" x14ac:dyDescent="0.25">
      <c r="A56" t="s">
        <v>68</v>
      </c>
    </row>
    <row r="57" spans="1:8" x14ac:dyDescent="0.25">
      <c r="A57" t="s">
        <v>71</v>
      </c>
    </row>
    <row r="58" spans="1:8" x14ac:dyDescent="0.25">
      <c r="A58" t="s">
        <v>86</v>
      </c>
    </row>
    <row r="59" spans="1:8" x14ac:dyDescent="0.25">
      <c r="A59" t="s">
        <v>87</v>
      </c>
    </row>
    <row r="60" spans="1:8" x14ac:dyDescent="0.25">
      <c r="A60" t="s">
        <v>88</v>
      </c>
    </row>
    <row r="61" spans="1:8" x14ac:dyDescent="0.25">
      <c r="A61" t="s">
        <v>89</v>
      </c>
    </row>
    <row r="62" spans="1:8" x14ac:dyDescent="0.25">
      <c r="A62" t="s">
        <v>90</v>
      </c>
    </row>
    <row r="63" spans="1:8" x14ac:dyDescent="0.25">
      <c r="A63" t="s">
        <v>83</v>
      </c>
    </row>
  </sheetData>
  <mergeCells count="11">
    <mergeCell ref="A18:A20"/>
    <mergeCell ref="I37:T37"/>
    <mergeCell ref="I18:T18"/>
    <mergeCell ref="I23:T23"/>
    <mergeCell ref="I19:T19"/>
    <mergeCell ref="I28:T28"/>
    <mergeCell ref="I35:T35"/>
    <mergeCell ref="I36:T36"/>
    <mergeCell ref="I30:T30"/>
    <mergeCell ref="I24:T24"/>
    <mergeCell ref="I29:T29"/>
  </mergeCells>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8745-9C00-48AC-A122-B8258BED1B81}">
  <dimension ref="A1:K22"/>
  <sheetViews>
    <sheetView workbookViewId="0">
      <selection activeCell="C5" sqref="C5"/>
    </sheetView>
  </sheetViews>
  <sheetFormatPr defaultRowHeight="15" x14ac:dyDescent="0.25"/>
  <cols>
    <col min="2" max="2" width="7.7109375" customWidth="1"/>
    <col min="3" max="3" width="10.85546875" customWidth="1"/>
    <col min="4" max="4" width="10" bestFit="1" customWidth="1"/>
    <col min="5" max="5" width="12" bestFit="1" customWidth="1"/>
    <col min="6" max="6" width="11" bestFit="1" customWidth="1"/>
    <col min="8" max="8" width="12" bestFit="1" customWidth="1"/>
    <col min="10" max="10" width="12" bestFit="1" customWidth="1"/>
  </cols>
  <sheetData>
    <row r="1" spans="1:11" x14ac:dyDescent="0.25">
      <c r="A1">
        <v>2012</v>
      </c>
      <c r="B1">
        <v>2016</v>
      </c>
      <c r="E1">
        <v>2016</v>
      </c>
      <c r="F1">
        <v>2020</v>
      </c>
      <c r="G1">
        <v>1.1399999999999999</v>
      </c>
    </row>
    <row r="2" spans="1:11" x14ac:dyDescent="0.25">
      <c r="A2">
        <v>2431</v>
      </c>
      <c r="B2">
        <f>A2*(1+J$20)</f>
        <v>1857.499878019029</v>
      </c>
      <c r="C2">
        <v>26000</v>
      </c>
      <c r="D2">
        <f t="shared" ref="D2:D11" si="0">A2*C2</f>
        <v>63206000</v>
      </c>
      <c r="E2">
        <f>B2*C2</f>
        <v>48294996.82849475</v>
      </c>
      <c r="F2">
        <f>E2*G$1</f>
        <v>55056296.384484008</v>
      </c>
      <c r="H2">
        <f>F2+F3+F4</f>
        <v>118990448.87045617</v>
      </c>
    </row>
    <row r="3" spans="1:11" x14ac:dyDescent="0.25">
      <c r="A3">
        <v>2536</v>
      </c>
      <c r="B3">
        <f t="shared" ref="B3:B11" si="1">A3*(1+J$20)</f>
        <v>1937.7292022444497</v>
      </c>
      <c r="C3">
        <v>26000</v>
      </c>
      <c r="D3">
        <f t="shared" si="0"/>
        <v>65936000</v>
      </c>
      <c r="E3">
        <f t="shared" ref="E3:E11" si="2">B3*C3</f>
        <v>50380959.258355692</v>
      </c>
      <c r="F3">
        <f t="shared" ref="F3:F11" si="3">E3*G$1</f>
        <v>57434293.554525487</v>
      </c>
    </row>
    <row r="4" spans="1:11" x14ac:dyDescent="0.25">
      <c r="A4">
        <v>2870</v>
      </c>
      <c r="B4">
        <f t="shared" si="1"/>
        <v>2192.9348621615027</v>
      </c>
      <c r="C4">
        <v>2600</v>
      </c>
      <c r="D4">
        <f t="shared" si="0"/>
        <v>7462000</v>
      </c>
      <c r="E4">
        <f t="shared" si="2"/>
        <v>5701630.6416199068</v>
      </c>
      <c r="F4">
        <f t="shared" si="3"/>
        <v>6499858.9314466929</v>
      </c>
      <c r="H4">
        <v>164489461.39058304</v>
      </c>
      <c r="J4">
        <f>SUM(F2:F4)</f>
        <v>118990448.87045617</v>
      </c>
    </row>
    <row r="5" spans="1:11" x14ac:dyDescent="0.25">
      <c r="A5">
        <v>2738</v>
      </c>
      <c r="B5">
        <f t="shared" si="1"/>
        <v>2092.0751402781166</v>
      </c>
      <c r="C5">
        <v>26000</v>
      </c>
      <c r="D5">
        <f t="shared" si="0"/>
        <v>71188000</v>
      </c>
      <c r="E5">
        <f t="shared" si="2"/>
        <v>54393953.647231027</v>
      </c>
      <c r="F5">
        <f t="shared" si="3"/>
        <v>62009107.157843366</v>
      </c>
      <c r="J5">
        <f>J4/F12</f>
        <v>0.18433147387994245</v>
      </c>
      <c r="K5" t="s">
        <v>41</v>
      </c>
    </row>
    <row r="6" spans="1:11" x14ac:dyDescent="0.25">
      <c r="A6">
        <v>2840</v>
      </c>
      <c r="B6">
        <f t="shared" si="1"/>
        <v>2170.0121980970966</v>
      </c>
      <c r="C6">
        <v>26000</v>
      </c>
      <c r="D6">
        <f t="shared" si="0"/>
        <v>73840000</v>
      </c>
      <c r="E6">
        <f t="shared" si="2"/>
        <v>56420317.150524512</v>
      </c>
      <c r="F6">
        <f t="shared" si="3"/>
        <v>64319161.551597938</v>
      </c>
      <c r="H6">
        <f>0.029*H4</f>
        <v>4770194.3803269081</v>
      </c>
    </row>
    <row r="7" spans="1:11" x14ac:dyDescent="0.25">
      <c r="A7">
        <v>3509</v>
      </c>
      <c r="B7">
        <f t="shared" si="1"/>
        <v>2681.1876067333492</v>
      </c>
      <c r="C7">
        <v>26000</v>
      </c>
      <c r="D7">
        <f t="shared" si="0"/>
        <v>91234000</v>
      </c>
      <c r="E7">
        <f t="shared" si="2"/>
        <v>69710877.775067076</v>
      </c>
      <c r="F7">
        <f t="shared" si="3"/>
        <v>79470400.663576454</v>
      </c>
    </row>
    <row r="8" spans="1:11" x14ac:dyDescent="0.25">
      <c r="A8">
        <v>3063</v>
      </c>
      <c r="B8">
        <f t="shared" si="1"/>
        <v>2340.4040009758478</v>
      </c>
      <c r="C8">
        <v>26000</v>
      </c>
      <c r="D8">
        <f t="shared" si="0"/>
        <v>79638000</v>
      </c>
      <c r="E8">
        <f t="shared" si="2"/>
        <v>60850504.025372043</v>
      </c>
      <c r="F8">
        <f t="shared" si="3"/>
        <v>69369574.588924125</v>
      </c>
    </row>
    <row r="9" spans="1:11" x14ac:dyDescent="0.25">
      <c r="A9">
        <v>3418</v>
      </c>
      <c r="B9">
        <f t="shared" si="1"/>
        <v>2611.6555257379846</v>
      </c>
      <c r="C9">
        <v>26000</v>
      </c>
      <c r="D9">
        <f t="shared" si="0"/>
        <v>88868000</v>
      </c>
      <c r="E9">
        <f t="shared" si="2"/>
        <v>67903043.669187605</v>
      </c>
      <c r="F9">
        <f t="shared" si="3"/>
        <v>77409469.782873869</v>
      </c>
    </row>
    <row r="10" spans="1:11" x14ac:dyDescent="0.25">
      <c r="A10">
        <v>3639</v>
      </c>
      <c r="B10">
        <f t="shared" si="1"/>
        <v>2780.5191510124419</v>
      </c>
      <c r="C10">
        <v>26000</v>
      </c>
      <c r="D10">
        <f t="shared" si="0"/>
        <v>94614000</v>
      </c>
      <c r="E10">
        <f t="shared" si="2"/>
        <v>72293497.926323488</v>
      </c>
      <c r="F10">
        <f t="shared" si="3"/>
        <v>82414587.636008769</v>
      </c>
    </row>
    <row r="11" spans="1:11" x14ac:dyDescent="0.25">
      <c r="A11">
        <v>4042</v>
      </c>
      <c r="B11">
        <f t="shared" si="1"/>
        <v>3088.4469382776283</v>
      </c>
      <c r="C11">
        <v>26000</v>
      </c>
      <c r="D11">
        <f t="shared" si="0"/>
        <v>105092000</v>
      </c>
      <c r="E11">
        <f t="shared" si="2"/>
        <v>80299620.395218343</v>
      </c>
      <c r="F11">
        <f t="shared" si="3"/>
        <v>91541567.250548899</v>
      </c>
    </row>
    <row r="12" spans="1:11" x14ac:dyDescent="0.25">
      <c r="C12">
        <f>SUM(C2:C11)</f>
        <v>236600</v>
      </c>
      <c r="D12">
        <f>SUM(D2:D11)</f>
        <v>741078000</v>
      </c>
      <c r="E12">
        <f>SUM(E2:E11)</f>
        <v>566249401.31739438</v>
      </c>
      <c r="F12">
        <f>SUM(F2:F11)</f>
        <v>645524317.50182962</v>
      </c>
    </row>
    <row r="14" spans="1:11" x14ac:dyDescent="0.25">
      <c r="B14">
        <v>2012</v>
      </c>
      <c r="C14">
        <v>2016</v>
      </c>
      <c r="F14">
        <v>2012</v>
      </c>
      <c r="H14">
        <v>2016</v>
      </c>
    </row>
    <row r="15" spans="1:11" x14ac:dyDescent="0.25">
      <c r="A15" t="s">
        <v>33</v>
      </c>
      <c r="B15">
        <v>3.84</v>
      </c>
      <c r="C15">
        <v>2.2999999999999998</v>
      </c>
      <c r="D15">
        <v>0.3</v>
      </c>
      <c r="F15">
        <f>B15*D15</f>
        <v>1.1519999999999999</v>
      </c>
      <c r="H15">
        <f>C15*D15</f>
        <v>0.69</v>
      </c>
    </row>
    <row r="16" spans="1:11" x14ac:dyDescent="0.25">
      <c r="A16" t="s">
        <v>34</v>
      </c>
      <c r="B16">
        <v>4.24</v>
      </c>
      <c r="C16">
        <v>3</v>
      </c>
      <c r="D16">
        <v>0.1</v>
      </c>
      <c r="E16">
        <f>35/45</f>
        <v>0.77777777777777779</v>
      </c>
      <c r="F16">
        <f>B16*D16</f>
        <v>0.42400000000000004</v>
      </c>
      <c r="G16">
        <f>(F15+F16+F17+F18)*E16</f>
        <v>2.468666666666667</v>
      </c>
      <c r="H16">
        <f>C16*D16</f>
        <v>0.30000000000000004</v>
      </c>
      <c r="I16">
        <f>(H15+H16+H17+H18)*E16</f>
        <v>1.7982222222222222</v>
      </c>
    </row>
    <row r="17" spans="1:10" x14ac:dyDescent="0.25">
      <c r="A17" t="s">
        <v>35</v>
      </c>
      <c r="B17">
        <v>3.26</v>
      </c>
      <c r="C17">
        <v>2.9</v>
      </c>
      <c r="D17">
        <v>0.2</v>
      </c>
      <c r="F17">
        <f>B17*D17</f>
        <v>0.65200000000000002</v>
      </c>
      <c r="H17">
        <f>C17*D17</f>
        <v>0.57999999999999996</v>
      </c>
    </row>
    <row r="18" spans="1:10" x14ac:dyDescent="0.25">
      <c r="A18" t="s">
        <v>37</v>
      </c>
      <c r="B18">
        <v>4.7300000000000004</v>
      </c>
      <c r="C18">
        <v>3.71</v>
      </c>
      <c r="D18">
        <v>0.2</v>
      </c>
      <c r="F18">
        <f>B18*D18</f>
        <v>0.94600000000000017</v>
      </c>
      <c r="H18">
        <f>C18*D18</f>
        <v>0.74199999999999999</v>
      </c>
    </row>
    <row r="19" spans="1:10" x14ac:dyDescent="0.25">
      <c r="A19" t="s">
        <v>38</v>
      </c>
      <c r="B19">
        <v>11.88</v>
      </c>
      <c r="C19">
        <v>13.04</v>
      </c>
      <c r="D19">
        <v>0.1</v>
      </c>
      <c r="E19">
        <f>10/45</f>
        <v>0.22222222222222221</v>
      </c>
      <c r="F19">
        <f>B19*D19</f>
        <v>1.1880000000000002</v>
      </c>
      <c r="G19">
        <f>E19*F19</f>
        <v>0.26400000000000001</v>
      </c>
      <c r="H19">
        <f>C19*D19</f>
        <v>1.304</v>
      </c>
      <c r="I19">
        <f>E19*H19</f>
        <v>0.28977777777777775</v>
      </c>
    </row>
    <row r="20" spans="1:10" x14ac:dyDescent="0.25">
      <c r="G20">
        <f>G16+G19</f>
        <v>2.7326666666666668</v>
      </c>
      <c r="I20">
        <f>I16+I19</f>
        <v>2.0880000000000001</v>
      </c>
      <c r="J20">
        <f>(I20-G20)/G20</f>
        <v>-0.23591119785313491</v>
      </c>
    </row>
    <row r="21" spans="1:10" x14ac:dyDescent="0.25">
      <c r="C21" t="s">
        <v>36</v>
      </c>
    </row>
    <row r="22" spans="1:10" x14ac:dyDescent="0.25">
      <c r="C22"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9DD3B-3746-430F-9D7A-62F32B305620}">
  <dimension ref="A1:D24"/>
  <sheetViews>
    <sheetView workbookViewId="0">
      <selection activeCell="I16" sqref="I16"/>
    </sheetView>
  </sheetViews>
  <sheetFormatPr defaultRowHeight="15" x14ac:dyDescent="0.25"/>
  <cols>
    <col min="1" max="1" width="28.28515625" customWidth="1"/>
    <col min="3" max="3" width="14.5703125" bestFit="1" customWidth="1"/>
    <col min="4" max="4" width="18.5703125" bestFit="1" customWidth="1"/>
  </cols>
  <sheetData>
    <row r="1" spans="1:4" ht="15.75" thickBot="1" x14ac:dyDescent="0.3"/>
    <row r="2" spans="1:4" x14ac:dyDescent="0.25">
      <c r="A2" s="18" t="s">
        <v>29</v>
      </c>
      <c r="B2" s="19"/>
      <c r="C2" s="19"/>
      <c r="D2" s="20"/>
    </row>
    <row r="3" spans="1:4" x14ac:dyDescent="0.25">
      <c r="A3" s="21"/>
      <c r="B3" s="24" t="s">
        <v>7</v>
      </c>
      <c r="C3" s="57" t="s">
        <v>8</v>
      </c>
      <c r="D3" s="34" t="s">
        <v>49</v>
      </c>
    </row>
    <row r="4" spans="1:4" x14ac:dyDescent="0.25">
      <c r="A4" s="60" t="s">
        <v>1</v>
      </c>
      <c r="B4" s="36">
        <v>0.06</v>
      </c>
      <c r="C4" s="37">
        <v>142286414</v>
      </c>
      <c r="D4" s="61">
        <f>C4/B4</f>
        <v>2371440233.3333335</v>
      </c>
    </row>
    <row r="5" spans="1:4" x14ac:dyDescent="0.25">
      <c r="A5" s="60" t="s">
        <v>2</v>
      </c>
      <c r="B5" s="36">
        <v>0.06</v>
      </c>
      <c r="C5" s="37">
        <v>15039003</v>
      </c>
      <c r="D5" s="61">
        <f t="shared" ref="D5:D7" si="0">C5/B5</f>
        <v>250650050</v>
      </c>
    </row>
    <row r="6" spans="1:4" x14ac:dyDescent="0.25">
      <c r="A6" s="60" t="s">
        <v>3</v>
      </c>
      <c r="B6" s="38">
        <v>3.6299999999999999E-2</v>
      </c>
      <c r="C6" s="37">
        <v>4793713</v>
      </c>
      <c r="D6" s="61">
        <f t="shared" si="0"/>
        <v>132058209.36639118</v>
      </c>
    </row>
    <row r="7" spans="1:4" x14ac:dyDescent="0.25">
      <c r="A7" s="60" t="s">
        <v>4</v>
      </c>
      <c r="B7" s="38">
        <v>5.8999999999999997E-2</v>
      </c>
      <c r="C7" s="37">
        <v>73708</v>
      </c>
      <c r="D7" s="61">
        <f t="shared" si="0"/>
        <v>1249288.1355932204</v>
      </c>
    </row>
    <row r="8" spans="1:4" x14ac:dyDescent="0.25">
      <c r="A8" s="60" t="s">
        <v>5</v>
      </c>
      <c r="B8" s="39" t="s">
        <v>13</v>
      </c>
      <c r="C8" s="37">
        <v>780000</v>
      </c>
      <c r="D8" s="61">
        <v>514800000</v>
      </c>
    </row>
    <row r="9" spans="1:4" ht="15.75" thickBot="1" x14ac:dyDescent="0.3">
      <c r="A9" s="62" t="s">
        <v>6</v>
      </c>
      <c r="B9" s="58">
        <v>3.3000000000000002E-2</v>
      </c>
      <c r="C9" s="59">
        <v>1200000</v>
      </c>
      <c r="D9" s="63">
        <f>C9/B9</f>
        <v>36363636.36363636</v>
      </c>
    </row>
    <row r="10" spans="1:4" ht="15.75" thickBot="1" x14ac:dyDescent="0.3">
      <c r="A10" s="22" t="s">
        <v>27</v>
      </c>
      <c r="B10" s="35"/>
      <c r="C10" s="35"/>
      <c r="D10" s="10">
        <f>SUM(D4:D9)</f>
        <v>3306561417.1989546</v>
      </c>
    </row>
    <row r="12" spans="1:4" x14ac:dyDescent="0.25">
      <c r="A12" t="s">
        <v>50</v>
      </c>
    </row>
    <row r="16" spans="1:4" x14ac:dyDescent="0.25">
      <c r="A16" t="s">
        <v>11</v>
      </c>
    </row>
    <row r="17" spans="1:4" x14ac:dyDescent="0.25">
      <c r="A17" t="s">
        <v>12</v>
      </c>
      <c r="D17">
        <v>6437000000</v>
      </c>
    </row>
    <row r="19" spans="1:4" x14ac:dyDescent="0.25">
      <c r="A19" t="s">
        <v>9</v>
      </c>
      <c r="B19" t="s">
        <v>14</v>
      </c>
      <c r="D19" s="2">
        <f>D17-D10</f>
        <v>3130438582.8010454</v>
      </c>
    </row>
    <row r="20" spans="1:4" x14ac:dyDescent="0.25">
      <c r="A20" t="s">
        <v>10</v>
      </c>
    </row>
    <row r="24" spans="1:4" x14ac:dyDescent="0.25">
      <c r="C24" s="46">
        <f>C8*10*66</f>
        <v>514800000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Rate Calculator</vt:lpstr>
      <vt:lpstr>Home energy</vt:lpstr>
      <vt:lpstr>Health care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 Kleppner</dc:creator>
  <cp:lastModifiedBy>Sean Sheehan</cp:lastModifiedBy>
  <dcterms:created xsi:type="dcterms:W3CDTF">2020-10-08T10:57:45Z</dcterms:created>
  <dcterms:modified xsi:type="dcterms:W3CDTF">2020-10-20T18:40:51Z</dcterms:modified>
</cp:coreProperties>
</file>