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leppner\Desktop\Tax Structure Commission 2021\Sales Tax\Chapter &amp; Appendices\"/>
    </mc:Choice>
  </mc:AlternateContent>
  <xr:revisionPtr revIDLastSave="0" documentId="13_ncr:1_{D37D7AC4-C778-489F-AB89-17546F65F2E3}" xr6:coauthVersionLast="45" xr6:coauthVersionMax="45" xr10:uidLastSave="{00000000-0000-0000-0000-000000000000}"/>
  <bookViews>
    <workbookView xWindow="2496" yWindow="120" windowWidth="20544" windowHeight="12036" tabRatio="613" xr2:uid="{CB44566F-55D4-4CCE-AE4B-5BA7EE2BF5F5}"/>
  </bookViews>
  <sheets>
    <sheet name="Rate calculator" sheetId="7" r:id="rId1"/>
    <sheet name="Home energy data" sheetId="4" r:id="rId2"/>
    <sheet name="Health care data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L19" i="7"/>
  <c r="L18" i="7"/>
  <c r="L23" i="7" l="1"/>
  <c r="F27" i="7" l="1"/>
  <c r="F28" i="7"/>
  <c r="F29" i="7"/>
  <c r="F30" i="7"/>
  <c r="F31" i="7"/>
  <c r="F32" i="7"/>
  <c r="F33" i="7"/>
  <c r="F34" i="7"/>
  <c r="F26" i="7"/>
  <c r="F23" i="7"/>
  <c r="F22" i="7"/>
  <c r="F21" i="7"/>
  <c r="F20" i="7"/>
  <c r="F19" i="7"/>
  <c r="F18" i="7"/>
  <c r="F39" i="7" l="1"/>
  <c r="F68" i="7"/>
  <c r="G68" i="7"/>
  <c r="H68" i="7"/>
  <c r="F66" i="7"/>
  <c r="F67" i="7" s="1"/>
  <c r="F59" i="7"/>
  <c r="F56" i="7"/>
  <c r="F57" i="7"/>
  <c r="F58" i="7"/>
  <c r="F55" i="7"/>
  <c r="F52" i="7"/>
  <c r="F44" i="7"/>
  <c r="F45" i="7"/>
  <c r="F46" i="7"/>
  <c r="F47" i="7"/>
  <c r="F48" i="7"/>
  <c r="F49" i="7"/>
  <c r="F50" i="7"/>
  <c r="F51" i="7"/>
  <c r="F43" i="7"/>
  <c r="E66" i="7"/>
  <c r="E67" i="7" s="1"/>
  <c r="E69" i="7" s="1"/>
  <c r="G15" i="7"/>
  <c r="D15" i="7"/>
  <c r="D32" i="4"/>
  <c r="C27" i="4"/>
  <c r="C25" i="4"/>
  <c r="C24" i="4"/>
  <c r="B29" i="4"/>
  <c r="G16" i="4"/>
  <c r="F18" i="4"/>
  <c r="F16" i="4"/>
  <c r="F15" i="4"/>
  <c r="I19" i="4"/>
  <c r="J20" i="4"/>
  <c r="D31" i="2"/>
  <c r="E30" i="2"/>
  <c r="F30" i="2"/>
  <c r="D30" i="2"/>
  <c r="B28" i="2"/>
  <c r="H10" i="2"/>
  <c r="E9" i="2"/>
  <c r="E8" i="2"/>
  <c r="E5" i="2"/>
  <c r="E6" i="2"/>
  <c r="E7" i="2"/>
  <c r="E4" i="2"/>
  <c r="D10" i="2"/>
  <c r="C10" i="2"/>
  <c r="C24" i="2"/>
  <c r="E10" i="2"/>
  <c r="E19" i="2"/>
  <c r="E4" i="4"/>
  <c r="F4" i="4"/>
  <c r="J4" i="4"/>
  <c r="F12" i="4"/>
  <c r="J5" i="4"/>
  <c r="H6" i="4"/>
  <c r="H2" i="4"/>
  <c r="F2" i="4"/>
  <c r="F3" i="4"/>
  <c r="F5" i="4"/>
  <c r="F6" i="4"/>
  <c r="F7" i="4"/>
  <c r="F8" i="4"/>
  <c r="F9" i="4"/>
  <c r="F10" i="4"/>
  <c r="F11" i="4"/>
  <c r="E12" i="4"/>
  <c r="E3" i="4"/>
  <c r="E5" i="4"/>
  <c r="E6" i="4"/>
  <c r="E7" i="4"/>
  <c r="E8" i="4"/>
  <c r="E9" i="4"/>
  <c r="E10" i="4"/>
  <c r="E11" i="4"/>
  <c r="E2" i="4"/>
  <c r="B3" i="4"/>
  <c r="B4" i="4"/>
  <c r="B5" i="4"/>
  <c r="B6" i="4"/>
  <c r="B7" i="4"/>
  <c r="B8" i="4"/>
  <c r="B9" i="4"/>
  <c r="B10" i="4"/>
  <c r="B11" i="4"/>
  <c r="B2" i="4"/>
  <c r="I20" i="4"/>
  <c r="G20" i="4"/>
  <c r="H19" i="4"/>
  <c r="H18" i="4"/>
  <c r="H17" i="4"/>
  <c r="H16" i="4"/>
  <c r="H15" i="4"/>
  <c r="F19" i="4"/>
  <c r="F17" i="4"/>
  <c r="I16" i="4"/>
  <c r="G19" i="4"/>
  <c r="E16" i="4"/>
  <c r="E19" i="4"/>
  <c r="D2" i="4"/>
  <c r="D3" i="4"/>
  <c r="D4" i="4"/>
  <c r="D5" i="4"/>
  <c r="D6" i="4"/>
  <c r="D7" i="4"/>
  <c r="D8" i="4"/>
  <c r="D9" i="4"/>
  <c r="D10" i="4"/>
  <c r="D11" i="4"/>
  <c r="D12" i="4"/>
  <c r="C12" i="4"/>
  <c r="F62" i="7" l="1"/>
  <c r="E62" i="7"/>
  <c r="G44" i="7" s="1"/>
  <c r="H44" i="7" s="1"/>
  <c r="F69" i="7"/>
  <c r="F15" i="7" l="1"/>
  <c r="G66" i="7" s="1"/>
  <c r="H66" i="7" s="1"/>
  <c r="G29" i="7"/>
  <c r="H29" i="7" s="1"/>
  <c r="G26" i="7"/>
  <c r="H26" i="7" s="1"/>
  <c r="G28" i="7"/>
  <c r="H28" i="7" s="1"/>
  <c r="G31" i="7"/>
  <c r="H31" i="7" s="1"/>
  <c r="G34" i="7"/>
  <c r="H34" i="7" s="1"/>
  <c r="G20" i="7"/>
  <c r="H20" i="7" s="1"/>
  <c r="G30" i="7"/>
  <c r="H30" i="7" s="1"/>
  <c r="G33" i="7"/>
  <c r="H33" i="7" s="1"/>
  <c r="G22" i="7"/>
  <c r="H22" i="7" s="1"/>
  <c r="G21" i="7"/>
  <c r="H21" i="7" s="1"/>
  <c r="G18" i="7"/>
  <c r="H18" i="7" s="1"/>
  <c r="G19" i="7"/>
  <c r="H19" i="7" s="1"/>
  <c r="G23" i="7"/>
  <c r="H23" i="7" s="1"/>
  <c r="G27" i="7"/>
  <c r="H27" i="7" s="1"/>
  <c r="G32" i="7"/>
  <c r="H32" i="7" s="1"/>
  <c r="G39" i="7"/>
  <c r="H39" i="7" s="1"/>
  <c r="G56" i="7"/>
  <c r="H56" i="7" s="1"/>
  <c r="G49" i="7"/>
  <c r="H49" i="7" s="1"/>
  <c r="G57" i="7"/>
  <c r="H57" i="7" s="1"/>
  <c r="G45" i="7"/>
  <c r="H45" i="7" s="1"/>
  <c r="G47" i="7"/>
  <c r="H47" i="7" s="1"/>
  <c r="G51" i="7"/>
  <c r="H51" i="7" s="1"/>
  <c r="G52" i="7"/>
  <c r="H52" i="7" s="1"/>
  <c r="G43" i="7"/>
  <c r="G50" i="7"/>
  <c r="H50" i="7" s="1"/>
  <c r="G46" i="7"/>
  <c r="H46" i="7" s="1"/>
  <c r="G48" i="7"/>
  <c r="H48" i="7" s="1"/>
  <c r="G58" i="7"/>
  <c r="H58" i="7" s="1"/>
  <c r="G55" i="7"/>
  <c r="H55" i="7" s="1"/>
  <c r="G59" i="7"/>
  <c r="H59" i="7" s="1"/>
  <c r="G67" i="7" l="1"/>
  <c r="G69" i="7" s="1"/>
  <c r="G62" i="7"/>
  <c r="H43" i="7"/>
  <c r="H62" i="7" s="1"/>
  <c r="H67" i="7" l="1"/>
  <c r="H69" i="7" s="1"/>
</calcChain>
</file>

<file path=xl/sharedStrings.xml><?xml version="1.0" encoding="utf-8"?>
<sst xmlns="http://schemas.openxmlformats.org/spreadsheetml/2006/main" count="219" uniqueCount="158">
  <si>
    <t>Hospitals</t>
  </si>
  <si>
    <t>Nursing Homes</t>
  </si>
  <si>
    <t>Home Health</t>
  </si>
  <si>
    <t>Intermediate Care Facilities</t>
  </si>
  <si>
    <t>Pharmacy</t>
  </si>
  <si>
    <t>Ambulance</t>
  </si>
  <si>
    <t>2017 rate</t>
  </si>
  <si>
    <t>2017 tax</t>
  </si>
  <si>
    <t>BCBS avg script: $66</t>
  </si>
  <si>
    <t>2MM scripts, $132 million total</t>
  </si>
  <si>
    <t>51% of Vermonters covered by private insurance</t>
  </si>
  <si>
    <t>BCBSVT 2/3, MVP 1/3</t>
  </si>
  <si>
    <t>*</t>
  </si>
  <si>
    <t>*10 c/script</t>
  </si>
  <si>
    <t>Instructions</t>
  </si>
  <si>
    <t>Notes</t>
  </si>
  <si>
    <t>Total</t>
  </si>
  <si>
    <t>Health care subject to provider tax</t>
  </si>
  <si>
    <t>Heating oil</t>
  </si>
  <si>
    <t>Kerosene</t>
  </si>
  <si>
    <t>Propane</t>
  </si>
  <si>
    <t>https://publicservice.vermont.gov/publications-resources/publications/fuel_report</t>
  </si>
  <si>
    <t>Natural gas</t>
  </si>
  <si>
    <t>electricity</t>
  </si>
  <si>
    <t>https://vermontbiz.com/news/2019/august/16/nearly-6-out-10-vermont-households-heat-petroleum</t>
  </si>
  <si>
    <t>LIV portion of spending</t>
  </si>
  <si>
    <t>2017 implied revenue</t>
  </si>
  <si>
    <t>*10 cents/prescription, at BCBSVT's average of $66/prescription</t>
  </si>
  <si>
    <t>Current base</t>
  </si>
  <si>
    <t>Proposed new base</t>
  </si>
  <si>
    <t>Proposed new rate</t>
  </si>
  <si>
    <t>Incremental revenue beyond current revenue</t>
  </si>
  <si>
    <t>Protection for low-income Vermonters?</t>
  </si>
  <si>
    <t>No</t>
  </si>
  <si>
    <t>Yes</t>
  </si>
  <si>
    <t>Total, holding low-income VTers  harmless</t>
  </si>
  <si>
    <t>7. Do not change anything else</t>
  </si>
  <si>
    <t xml:space="preserve">Baseline </t>
  </si>
  <si>
    <t>5. Tax rate necessary to raise the same amount of sales tax as in 2019, assuming 2019 sales levels, and assuming full protection for low-income Vermoners, appears at the bottom in cell E43</t>
  </si>
  <si>
    <t>2019 estimate</t>
  </si>
  <si>
    <t>Note 16</t>
  </si>
  <si>
    <t>Note 17</t>
  </si>
  <si>
    <t>Note 18</t>
  </si>
  <si>
    <t>2019 est. provider tax rev</t>
  </si>
  <si>
    <t>Percent spent by lowest 40% of Vters</t>
  </si>
  <si>
    <t>VT 2019 Population</t>
  </si>
  <si>
    <t>VT 2019 Health care spend</t>
  </si>
  <si>
    <t>avg $/Vermonter</t>
  </si>
  <si>
    <t>400+</t>
  </si>
  <si>
    <t>1. Current sales tax base and sales tax revenue from VT Dept of Taxes, "06302020SUTStatsFiscalReport75Day"</t>
  </si>
  <si>
    <t>Notes 1 &amp; 2</t>
  </si>
  <si>
    <t>2020 sales tax revenue</t>
  </si>
  <si>
    <t>2020 sales tax base</t>
  </si>
  <si>
    <t>Note 4</t>
  </si>
  <si>
    <t>5. Ibid, and “Provider Taxes Overview,” Langweil &amp; Carbee, JFO and OLC, January 26, 2017. This number equals the adjusted total health care number above, minus the total spend on services from provider-tax providers, as calculated from “Provider Taxes Overview."</t>
  </si>
  <si>
    <t>Education (Note 6)</t>
  </si>
  <si>
    <t xml:space="preserve">6. Bureau of Economic Analysis, https://apps.bea.gov/iTable/iTable.cfm?reqid=70&amp;step=1&amp;isuri=1&amp;acrdn=4#reqid=70&amp;step=1&amp;isuri=1 . See also https://accd.vermont.gov/sites/accdnew/files/documents/DED/CEDS/CEDS2020FullReport.pdf </t>
  </si>
  <si>
    <t>Note 7</t>
  </si>
  <si>
    <t>8. "Sales Tax on Services Study," Vermont Dept of Taxes, 2015.</t>
  </si>
  <si>
    <t>9. Includes general repair, services at dealerships, body, paint, interior, oil changes, glass replacement, washing, towing, etc.</t>
  </si>
  <si>
    <t>Automotive services (Notes 8 &amp; 9)</t>
  </si>
  <si>
    <t>Services not related to personal property (Notes 8 &amp; 10)</t>
  </si>
  <si>
    <t>10. Landscaping, fitness centers, limo services, sports instruction, educational support services, etc.</t>
  </si>
  <si>
    <t>Note 11</t>
  </si>
  <si>
    <t>11. Absent specific data, we used the average of those services for which we do have data.</t>
  </si>
  <si>
    <t>Professional services (Note 8 &amp; 12)</t>
  </si>
  <si>
    <t>12. Legal services, accounting services, engineering services, etc.</t>
  </si>
  <si>
    <t>Related to personal property besides cars (Notes 8 &amp; 13)</t>
  </si>
  <si>
    <t>Hair, Skin, &amp; Nails (Note 8)</t>
  </si>
  <si>
    <t>Veterinary services (Note 8)</t>
  </si>
  <si>
    <t>Funeral (Note 8)</t>
  </si>
  <si>
    <t>Travel (Note 8)</t>
  </si>
  <si>
    <t>13. Self-storage, pet care (not veterinary), repair of household goods/appliances/electronics/furniture, RV parks, drycleaning, heating oil dealers, parking garages, marinas, formal wear rental, etc.</t>
  </si>
  <si>
    <t>Household Services (Notes 8 &amp; 14)</t>
  </si>
  <si>
    <t>14. Subscriptions to newspapers, extermination services, janitorial services, snowplowing, carpet cleaning, solid waste collection, etc.</t>
  </si>
  <si>
    <t>15. 2019 Vermont Tax Expenditure Report</t>
  </si>
  <si>
    <t>16. Absent specific data, we used the average of those goods for which we do have data.</t>
  </si>
  <si>
    <t>17. Assumes all sales of mobile homes are to the lowest-income 40% of Vermonters</t>
  </si>
  <si>
    <t>Groceries (Note 15)</t>
  </si>
  <si>
    <t>Residential energy (Note 15)</t>
  </si>
  <si>
    <t>Clothing (Note 15)</t>
  </si>
  <si>
    <t>Newspapers (Note 15)</t>
  </si>
  <si>
    <t>Sales of mobile/modular homes (Note 15)</t>
  </si>
  <si>
    <t>Bureau of Labor Statistics (https://www.bls.gov/cex/2018/aggregate/decile.pdf);</t>
  </si>
  <si>
    <t>(https://www.kff.org/other/state-indicator/distribution-by-fpl/?currentTimeframe=0&amp;sortModel=%7B%22colId%22:%22Location%22,%22sort%22:%22asc%22%7D)</t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</si>
  <si>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>Table 1110. Deciles of income before taxes: Shares of annual aggregate expenditures and sources of income, Consumer Expenditure Survey, 2018,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</si>
  <si>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"Distribution of Total Population By Federal Poverty Level," Kaiser Family Foundation, </t>
    </r>
  </si>
  <si>
    <t xml:space="preserve">4. Portion of total health care spending incurred by low-income Vermonters derived from: </t>
  </si>
  <si>
    <r>
      <rPr>
        <sz val="11"/>
        <color theme="1"/>
        <rFont val="Calibri"/>
        <family val="2"/>
      </rPr>
      <t>•"</t>
    </r>
    <r>
      <rPr>
        <sz val="11"/>
        <color theme="1"/>
        <rFont val="Calibri"/>
        <family val="2"/>
        <scheme val="minor"/>
      </rPr>
      <t>The Economic Incidence of Health Care Spending in Vermont," RAND, 2015 (https://www.rand.org/content/dam/rand/pubs/research_reports/RR900/RR901/RAND_RR901.pdf).</t>
    </r>
  </si>
  <si>
    <t xml:space="preserve">7. State-level data not available, so we assumed that the distribution of spending across income deciles in Vermont matched that of the United States: </t>
  </si>
  <si>
    <t>Table 1110. Deciles of income before taxes: Shares of annual aggregate expenditures and sources of income, Consumer Expenditure Survey, 2018, Bureau of Labor Statistics (https://www.bls.gov/cex/2018/aggregate/decile.pdf)</t>
  </si>
  <si>
    <t>Source for elasticity factor</t>
  </si>
  <si>
    <t>Note 19</t>
  </si>
  <si>
    <t>19. “The Elasticity of Demand for Health Care,” RAND, 2005.</t>
  </si>
  <si>
    <t>18. For all categories for which there is not specific elasticity data, including the current sales tax base, we have assumed unit elasticity.</t>
  </si>
  <si>
    <t>20. https://www.reed.edu/economics/parker/f10/201/cases/elasticity.html</t>
  </si>
  <si>
    <t>Note 20</t>
  </si>
  <si>
    <t>21. https://www.ncbi.nlm.nih.gov/pmc/articles/PMC2804646/</t>
  </si>
  <si>
    <t>Note 21</t>
  </si>
  <si>
    <t>Electricity</t>
  </si>
  <si>
    <t>https://www.econ.pitt.edu/sites/default/files/Deryugina.Electricity%20Aggregation.pdf</t>
  </si>
  <si>
    <t>https://www.eia.gov/analysis/studies/buildings/energyuse/pdf/price_elasticities.pdf</t>
  </si>
  <si>
    <t>elasticity</t>
  </si>
  <si>
    <t>use</t>
  </si>
  <si>
    <t>https://www.eia.gov/state/print.php?sid=VT</t>
  </si>
  <si>
    <t>%</t>
  </si>
  <si>
    <t>https://www.eia.gov/electricity/data.php#sales</t>
  </si>
  <si>
    <t>Note 22</t>
  </si>
  <si>
    <t>22. Estimates for the price elasticity of demand for residential energy use vary from -.1 to -1.0, with most of them landing around -.4.</t>
  </si>
  <si>
    <t>Source for portion by low-income VTers</t>
  </si>
  <si>
    <t>Sales Tax Rate Calculator with Different Categories Included In the Base</t>
  </si>
  <si>
    <t xml:space="preserve">New total sales w/ elasticity </t>
  </si>
  <si>
    <t>Existing sales tax base, adjusted for elasticity (Note 18)</t>
  </si>
  <si>
    <t>Proposed new sales tax base w/ no elasticity and no protection for low-income Vters</t>
  </si>
  <si>
    <t>New rate w/ no elasticity and no protection for low-income Vters</t>
  </si>
  <si>
    <t>New rate w/ no elasticity, with protection for low-income Vters</t>
  </si>
  <si>
    <t>New rate w/ elasticity and no protection for low-income Vters</t>
  </si>
  <si>
    <t>New rate w/ elasticity, with protection for low-income Vters</t>
  </si>
  <si>
    <t>Sales tax rate needed to raise the same tax revenue as in 2019, assuming 2019 sales</t>
  </si>
  <si>
    <t>Proposed new sales tax base w/ no elasticity, with protection for low-income Vters</t>
  </si>
  <si>
    <t>Set tax rate: change only the yellow cell, after selecting categories above.</t>
  </si>
  <si>
    <t>No price elasticity of demand</t>
  </si>
  <si>
    <t>With price elasticity of demand</t>
  </si>
  <si>
    <t>2. Source for 2019 provider tax estimate: LJFO State Health Care Resources Fund 2019 Revenue breakdown</t>
  </si>
  <si>
    <t>3.Total 2020 health care spend from the Green Mountain Care Board's 2018 Vermont Health Care Expenditure Analysis, assuming 3% growth in 2019 and 2020.</t>
  </si>
  <si>
    <t>Price elasticity of demand for health care is set at -.17, per “The Elasticity of Demand for Health Care,” RAND, 2005.</t>
  </si>
  <si>
    <t>Category I: Health care categories currently subject to provider tax</t>
  </si>
  <si>
    <t>Lab and x-ray services</t>
  </si>
  <si>
    <t>Services of managed care organizations</t>
  </si>
  <si>
    <t>x</t>
  </si>
  <si>
    <t>Psychological services (GMCB: "Mental Health &amp; Other Govt Activities")</t>
  </si>
  <si>
    <t xml:space="preserve"> GMCB Physicians</t>
  </si>
  <si>
    <t>GMCB Dentists</t>
  </si>
  <si>
    <t>GMCB "Other Professionals": Podiatric services</t>
  </si>
  <si>
    <t>GMCB "Other Professionals": Chiropractors</t>
  </si>
  <si>
    <t>GMCB "Other Professionals": Optometric services</t>
  </si>
  <si>
    <t>GMCB "Psychological"</t>
  </si>
  <si>
    <t>GMCB "Other Professionals": Physical Therapy</t>
  </si>
  <si>
    <t>GMCB "Other Professionals": Nursing services?</t>
  </si>
  <si>
    <t>Category II: Health care categories not currently subject to provider tax</t>
  </si>
  <si>
    <t>Ambulatory surgical/service centers</t>
  </si>
  <si>
    <t>Other health care items/services  w/ state licensing/certifying</t>
  </si>
  <si>
    <t>Prescription &amp; non-script med devices/non-script meds (GMCB Drugs &amp; Supplies minus script meds)</t>
  </si>
  <si>
    <t>Category III: Services not currently subject to sales tax</t>
  </si>
  <si>
    <t>Category IV: Goods not currently subject to sales tax</t>
  </si>
  <si>
    <t>2. For "Category II: Health care categories not currently subject to provider tax", put a lowercase "x" in the blue box for each category you'd like to include in the provider tax.</t>
  </si>
  <si>
    <t>4. To remove an "x", hit the delete key</t>
  </si>
  <si>
    <t>5. Tax rate necessary to raise the same amount of sales tax as in 2019, assuming 2019 sales levels, and assuming no protection for low-income Vermonters, appears at the bottom in cell E73.</t>
  </si>
  <si>
    <t>Hospitals: go fr. current 6% rate to new harmonized provider tax/sales tax rate</t>
  </si>
  <si>
    <t>Nursing homes: go fr. current 6% rate to new harmonized provider tax/sales tax rate</t>
  </si>
  <si>
    <t>Home health: go fr. current 4.25% rate to new harmonized provider tax/sales tax rate</t>
  </si>
  <si>
    <t>Prescription drugs: go fr current  $0.10/prescription to new harmonized provider tax/sales tax rate</t>
  </si>
  <si>
    <t>Intermediate care facilities: go fr. current 5.9% rate to new harmonized provider tax/sales tax rate</t>
  </si>
  <si>
    <t>Emergency ambulance: go fr. current 3.30% rate to new harmonized  provider tax/sales tax rate</t>
  </si>
  <si>
    <t>1. For "Category I: Health care categories currently subject to provider tax", put a lowercase "x" in the box to move that category to the new sales tax rate. Leaving it blank leaves that category taxed at its current provider tax rate.</t>
  </si>
  <si>
    <t>3. For Categories III and IV, put a lowercase "x" in the yellow box for each category you'd like to include in the sales tax</t>
  </si>
  <si>
    <t xml:space="preserve">6. Once you have chosen all the categories to include, you can input a tax rate in cell E68, and cells E69 and F69 will tell you how much additional revenue, compared to 2019, </t>
  </si>
  <si>
    <t>that combination of categories and rate will raise. E69  assumes low-income Vermonters pay the tax on new categories, F69 assumes they are fully protected from the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</si>
</sst>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00%"/>
    <numFmt numFmtId="166" formatCode="&quot;$&quot;#,##0.00"/>
    <numFmt numFmtId="167" formatCode="&quot;$&quot;#,##0.0"/>
    <numFmt numFmtId="168" formatCode="0.0%"/>
    <numFmt numFmtId="169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9" xfId="0" applyNumberFormat="1" applyBorder="1"/>
    <xf numFmtId="0" fontId="0" fillId="0" borderId="0" xfId="0" applyFill="1" applyBorder="1" applyAlignment="1">
      <alignment horizontal="right"/>
    </xf>
    <xf numFmtId="0" fontId="2" fillId="0" borderId="0" xfId="0" applyFont="1"/>
    <xf numFmtId="0" fontId="0" fillId="0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Fill="1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13" xfId="0" applyFont="1" applyBorder="1"/>
    <xf numFmtId="0" fontId="0" fillId="0" borderId="6" xfId="0" applyBorder="1"/>
    <xf numFmtId="0" fontId="0" fillId="0" borderId="8" xfId="0" applyBorder="1"/>
    <xf numFmtId="9" fontId="0" fillId="0" borderId="10" xfId="0" applyNumberFormat="1" applyBorder="1"/>
    <xf numFmtId="164" fontId="0" fillId="0" borderId="10" xfId="0" applyNumberFormat="1" applyBorder="1"/>
    <xf numFmtId="10" fontId="0" fillId="0" borderId="10" xfId="0" applyNumberFormat="1" applyBorder="1"/>
    <xf numFmtId="0" fontId="0" fillId="0" borderId="10" xfId="0" applyBorder="1" applyAlignment="1">
      <alignment horizontal="right"/>
    </xf>
    <xf numFmtId="6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165" fontId="0" fillId="0" borderId="0" xfId="1" applyNumberFormat="1" applyFont="1"/>
    <xf numFmtId="0" fontId="0" fillId="0" borderId="0" xfId="0" applyBorder="1" applyAlignment="1">
      <alignment horizontal="center"/>
    </xf>
    <xf numFmtId="10" fontId="0" fillId="0" borderId="12" xfId="0" applyNumberFormat="1" applyBorder="1"/>
    <xf numFmtId="164" fontId="0" fillId="0" borderId="12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16" xfId="0" applyBorder="1"/>
    <xf numFmtId="164" fontId="0" fillId="0" borderId="17" xfId="0" applyNumberFormat="1" applyBorder="1"/>
    <xf numFmtId="165" fontId="2" fillId="0" borderId="0" xfId="1" applyNumberFormat="1" applyFont="1"/>
    <xf numFmtId="166" fontId="0" fillId="0" borderId="15" xfId="0" applyNumberForma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164" fontId="0" fillId="0" borderId="8" xfId="0" applyNumberFormat="1" applyBorder="1"/>
    <xf numFmtId="0" fontId="2" fillId="0" borderId="0" xfId="0" applyFont="1" applyBorder="1" applyAlignment="1">
      <alignment horizontal="right"/>
    </xf>
    <xf numFmtId="165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21" xfId="0" applyNumberFormat="1" applyBorder="1"/>
    <xf numFmtId="164" fontId="0" fillId="0" borderId="22" xfId="0" applyNumberFormat="1" applyBorder="1"/>
    <xf numFmtId="0" fontId="7" fillId="0" borderId="0" xfId="4"/>
    <xf numFmtId="164" fontId="0" fillId="0" borderId="0" xfId="0" applyNumberForma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Font="1"/>
    <xf numFmtId="0" fontId="8" fillId="0" borderId="0" xfId="0" applyFont="1"/>
    <xf numFmtId="0" fontId="9" fillId="0" borderId="0" xfId="0" applyFont="1" applyFill="1"/>
    <xf numFmtId="0" fontId="9" fillId="0" borderId="0" xfId="0" applyFont="1"/>
    <xf numFmtId="164" fontId="0" fillId="0" borderId="4" xfId="0" applyNumberFormat="1" applyBorder="1" applyAlignment="1">
      <alignment horizontal="center" wrapText="1"/>
    </xf>
    <xf numFmtId="164" fontId="0" fillId="0" borderId="9" xfId="2" applyNumberFormat="1" applyFont="1" applyBorder="1" applyAlignment="1">
      <alignment horizontal="center"/>
    </xf>
    <xf numFmtId="169" fontId="2" fillId="0" borderId="1" xfId="1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vertical="center"/>
    </xf>
    <xf numFmtId="165" fontId="0" fillId="0" borderId="0" xfId="1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/>
    <xf numFmtId="6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ont="1" applyBorder="1"/>
    <xf numFmtId="0" fontId="9" fillId="0" borderId="0" xfId="4" applyFont="1" applyAlignment="1">
      <alignment vertical="center"/>
    </xf>
    <xf numFmtId="164" fontId="0" fillId="0" borderId="20" xfId="0" applyNumberFormat="1" applyBorder="1"/>
    <xf numFmtId="164" fontId="0" fillId="0" borderId="3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Fill="1" applyAlignment="1"/>
    <xf numFmtId="0" fontId="0" fillId="0" borderId="3" xfId="0" applyBorder="1" applyAlignment="1">
      <alignment horizontal="center" wrapText="1"/>
    </xf>
    <xf numFmtId="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168" fontId="0" fillId="0" borderId="0" xfId="0" applyNumberForma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0" fillId="0" borderId="28" xfId="0" applyNumberForma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9" fontId="0" fillId="2" borderId="14" xfId="1" applyNumberFormat="1" applyFont="1" applyFill="1" applyBorder="1" applyAlignment="1">
      <alignment horizontal="center"/>
    </xf>
    <xf numFmtId="169" fontId="0" fillId="0" borderId="15" xfId="1" applyNumberFormat="1" applyFont="1" applyFill="1" applyBorder="1" applyAlignment="1">
      <alignment horizontal="center"/>
    </xf>
    <xf numFmtId="169" fontId="0" fillId="0" borderId="28" xfId="1" applyNumberFormat="1" applyFont="1" applyFill="1" applyBorder="1" applyAlignment="1">
      <alignment horizontal="center"/>
    </xf>
    <xf numFmtId="169" fontId="0" fillId="0" borderId="15" xfId="1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6" fontId="0" fillId="0" borderId="10" xfId="0" applyNumberForma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164" fontId="0" fillId="0" borderId="12" xfId="0" applyNumberFormat="1" applyBorder="1" applyAlignment="1">
      <alignment vertical="center"/>
    </xf>
    <xf numFmtId="164" fontId="0" fillId="0" borderId="27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6" fontId="6" fillId="0" borderId="0" xfId="0" applyNumberFormat="1" applyFont="1" applyAlignment="1"/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5">
    <cellStyle name="Currency" xfId="2" builtinId="4"/>
    <cellStyle name="Hyperlink" xfId="4" builtinId="8"/>
    <cellStyle name="Normal" xfId="0" builtinId="0"/>
    <cellStyle name="Normal 2" xfId="3" xr:uid="{0DF55772-7EE3-43E5-B60F-C50259A00C2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vermontbiz.com/news/2019/august/16/nearly-6-out-10-vermont-households-heat-petroleum" TargetMode="External"/><Relationship Id="rId1" Type="http://schemas.openxmlformats.org/officeDocument/2006/relationships/hyperlink" Target="https://publicservice.vermont.gov/publications-resources/publications/fuel_repor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EBCF-EF80-4D51-9BCD-19CC40FA5F9B}">
  <dimension ref="B1:U107"/>
  <sheetViews>
    <sheetView tabSelected="1" workbookViewId="0">
      <selection activeCell="C12" sqref="C12"/>
    </sheetView>
  </sheetViews>
  <sheetFormatPr defaultRowHeight="14.4" x14ac:dyDescent="0.3"/>
  <cols>
    <col min="1" max="1" width="1.5546875" customWidth="1"/>
    <col min="2" max="2" width="7.44140625" customWidth="1"/>
    <col min="3" max="3" width="72.77734375" customWidth="1"/>
    <col min="4" max="4" width="12.33203125" customWidth="1"/>
    <col min="5" max="5" width="15.88671875" customWidth="1"/>
    <col min="6" max="6" width="17" customWidth="1"/>
    <col min="7" max="7" width="14.88671875" customWidth="1"/>
    <col min="8" max="8" width="14.77734375" style="54" customWidth="1"/>
    <col min="9" max="9" width="7.33203125" customWidth="1"/>
    <col min="10" max="10" width="8" customWidth="1"/>
    <col min="11" max="11" width="8.21875" customWidth="1"/>
    <col min="12" max="12" width="14.77734375" bestFit="1" customWidth="1"/>
  </cols>
  <sheetData>
    <row r="1" spans="2:10" x14ac:dyDescent="0.3">
      <c r="B1" s="10" t="s">
        <v>110</v>
      </c>
      <c r="D1" s="1"/>
      <c r="E1" s="2"/>
      <c r="F1" s="2"/>
    </row>
    <row r="2" spans="2:10" x14ac:dyDescent="0.3">
      <c r="D2" s="1"/>
      <c r="E2" s="2"/>
      <c r="F2" s="2"/>
      <c r="G2" s="2"/>
    </row>
    <row r="3" spans="2:10" x14ac:dyDescent="0.3">
      <c r="B3" s="10" t="s">
        <v>14</v>
      </c>
      <c r="D3" s="1"/>
      <c r="E3" s="2"/>
      <c r="F3" s="2"/>
      <c r="G3" s="2"/>
    </row>
    <row r="4" spans="2:10" x14ac:dyDescent="0.3">
      <c r="B4" t="s">
        <v>154</v>
      </c>
      <c r="D4" s="1"/>
      <c r="E4" s="2"/>
      <c r="F4" s="2"/>
      <c r="G4" s="2"/>
    </row>
    <row r="5" spans="2:10" x14ac:dyDescent="0.3">
      <c r="B5" t="s">
        <v>145</v>
      </c>
      <c r="D5" s="1"/>
      <c r="E5" s="2"/>
      <c r="F5" s="2"/>
      <c r="G5" s="2"/>
    </row>
    <row r="6" spans="2:10" x14ac:dyDescent="0.3">
      <c r="B6" s="3" t="s">
        <v>155</v>
      </c>
    </row>
    <row r="7" spans="2:10" x14ac:dyDescent="0.3">
      <c r="B7" s="3" t="s">
        <v>146</v>
      </c>
    </row>
    <row r="8" spans="2:10" x14ac:dyDescent="0.3">
      <c r="B8" s="3" t="s">
        <v>147</v>
      </c>
    </row>
    <row r="9" spans="2:10" x14ac:dyDescent="0.3">
      <c r="B9" s="3" t="s">
        <v>38</v>
      </c>
    </row>
    <row r="10" spans="2:10" x14ac:dyDescent="0.3">
      <c r="B10" s="3" t="s">
        <v>156</v>
      </c>
    </row>
    <row r="11" spans="2:10" x14ac:dyDescent="0.3">
      <c r="C11" t="s">
        <v>157</v>
      </c>
    </row>
    <row r="12" spans="2:10" ht="14.4" customHeight="1" x14ac:dyDescent="0.3">
      <c r="B12" s="3" t="s">
        <v>36</v>
      </c>
      <c r="C12" s="1"/>
    </row>
    <row r="13" spans="2:10" ht="13.2" customHeight="1" thickBot="1" x14ac:dyDescent="0.35">
      <c r="C13" s="1"/>
      <c r="E13" s="2"/>
      <c r="F13" s="2"/>
      <c r="G13" s="2"/>
      <c r="H13" s="35"/>
    </row>
    <row r="14" spans="2:10" ht="43.2" x14ac:dyDescent="0.3">
      <c r="B14" s="53" t="s">
        <v>37</v>
      </c>
      <c r="C14" s="5"/>
      <c r="D14" s="86" t="s">
        <v>51</v>
      </c>
      <c r="E14" s="83" t="s">
        <v>52</v>
      </c>
      <c r="F14" s="83" t="s">
        <v>112</v>
      </c>
      <c r="G14" s="64" t="s">
        <v>43</v>
      </c>
      <c r="H14" s="35"/>
    </row>
    <row r="15" spans="2:10" ht="13.2" customHeight="1" thickBot="1" x14ac:dyDescent="0.35">
      <c r="B15" s="19"/>
      <c r="C15" s="7" t="s">
        <v>50</v>
      </c>
      <c r="D15" s="78">
        <f>E15*0.06</f>
        <v>419459875.2234</v>
      </c>
      <c r="E15" s="79">
        <v>6990997920.3900003</v>
      </c>
      <c r="F15" s="79">
        <f>E15*(1+(0.06-E62))</f>
        <v>7180920386.5211983</v>
      </c>
      <c r="G15" s="65">
        <f>'Health care data'!D10</f>
        <v>169291857</v>
      </c>
      <c r="H15" s="72"/>
      <c r="J15" s="33"/>
    </row>
    <row r="16" spans="2:10" ht="13.2" customHeight="1" x14ac:dyDescent="0.3">
      <c r="B16" s="21"/>
      <c r="C16" s="6"/>
      <c r="D16" s="87"/>
      <c r="E16" s="88"/>
      <c r="F16" s="88"/>
      <c r="G16" s="89"/>
      <c r="H16" s="72"/>
      <c r="J16" s="33"/>
    </row>
    <row r="17" spans="2:21" ht="87" thickBot="1" x14ac:dyDescent="0.35">
      <c r="B17" s="10" t="s">
        <v>126</v>
      </c>
      <c r="C17" s="1"/>
      <c r="E17" s="49" t="s">
        <v>113</v>
      </c>
      <c r="F17" s="49" t="s">
        <v>119</v>
      </c>
      <c r="G17" s="49" t="s">
        <v>111</v>
      </c>
      <c r="H17" s="49" t="s">
        <v>35</v>
      </c>
      <c r="I17" s="49" t="s">
        <v>44</v>
      </c>
      <c r="J17" s="84" t="s">
        <v>109</v>
      </c>
      <c r="K17" s="49" t="s">
        <v>91</v>
      </c>
    </row>
    <row r="18" spans="2:21" x14ac:dyDescent="0.3">
      <c r="B18" s="148" t="s">
        <v>148</v>
      </c>
      <c r="C18" s="149"/>
      <c r="D18" s="12" t="s">
        <v>129</v>
      </c>
      <c r="E18" s="123">
        <v>2887530000</v>
      </c>
      <c r="F18" s="123">
        <f>E18</f>
        <v>2887530000</v>
      </c>
      <c r="G18" s="123">
        <f>E18*(1-(0.17*(E62-0.06)))</f>
        <v>2900865601.0441399</v>
      </c>
      <c r="H18" s="124">
        <f>G18</f>
        <v>2900865601.0441399</v>
      </c>
      <c r="I18" s="73">
        <v>9.1999999999999998E-2</v>
      </c>
      <c r="J18" s="67" t="s">
        <v>53</v>
      </c>
      <c r="K18" s="67" t="s">
        <v>92</v>
      </c>
      <c r="L18" s="145">
        <f>0.06*E18</f>
        <v>173251800</v>
      </c>
      <c r="M18" s="68"/>
      <c r="N18" s="68"/>
      <c r="O18" s="68"/>
      <c r="P18" s="68"/>
      <c r="Q18" s="68"/>
      <c r="R18" s="68"/>
      <c r="S18" s="68"/>
      <c r="T18" s="68"/>
      <c r="U18" s="68"/>
    </row>
    <row r="19" spans="2:21" x14ac:dyDescent="0.3">
      <c r="B19" s="150" t="s">
        <v>149</v>
      </c>
      <c r="C19" s="146"/>
      <c r="D19" s="120" t="s">
        <v>129</v>
      </c>
      <c r="E19" s="122">
        <v>270962000</v>
      </c>
      <c r="F19" s="122">
        <f>E19</f>
        <v>270962000</v>
      </c>
      <c r="G19" s="122">
        <f>E19*(1-(0.17*(E62-0.06)))</f>
        <v>272213395.18208373</v>
      </c>
      <c r="H19" s="125">
        <f>G19</f>
        <v>272213395.18208373</v>
      </c>
      <c r="I19" s="73"/>
      <c r="J19" s="67"/>
      <c r="K19" s="67"/>
      <c r="L19" s="145">
        <f>0.06*E19</f>
        <v>16257720</v>
      </c>
      <c r="M19" s="68"/>
      <c r="N19" s="68"/>
      <c r="O19" s="68"/>
      <c r="P19" s="68"/>
      <c r="Q19" s="68"/>
      <c r="R19" s="68"/>
      <c r="S19" s="68"/>
      <c r="T19" s="68"/>
      <c r="U19" s="68"/>
    </row>
    <row r="20" spans="2:21" x14ac:dyDescent="0.3">
      <c r="B20" s="151" t="s">
        <v>150</v>
      </c>
      <c r="C20" s="147"/>
      <c r="D20" s="120" t="s">
        <v>129</v>
      </c>
      <c r="E20" s="122">
        <v>131294118</v>
      </c>
      <c r="F20" s="122">
        <f>E20</f>
        <v>131294118</v>
      </c>
      <c r="G20" s="122">
        <f>E20*(1-(0.17*(E62-0.0425)))</f>
        <v>131509879.13704731</v>
      </c>
      <c r="H20" s="125">
        <f>G20</f>
        <v>131509879.13704731</v>
      </c>
      <c r="I20" s="73"/>
      <c r="J20" s="67"/>
      <c r="K20" s="67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 x14ac:dyDescent="0.3">
      <c r="B21" s="151" t="s">
        <v>152</v>
      </c>
      <c r="C21" s="147"/>
      <c r="D21" s="120" t="s">
        <v>129</v>
      </c>
      <c r="E21" s="122">
        <v>1355932</v>
      </c>
      <c r="F21" s="122">
        <f>E21</f>
        <v>1355932</v>
      </c>
      <c r="G21" s="122">
        <f>E21*(1-(0.17*(E62-0.059)))</f>
        <v>1361963.6492501304</v>
      </c>
      <c r="H21" s="125">
        <f>G21</f>
        <v>1361963.6492501304</v>
      </c>
      <c r="I21" s="73"/>
      <c r="J21" s="67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 x14ac:dyDescent="0.3">
      <c r="B22" s="150" t="s">
        <v>151</v>
      </c>
      <c r="C22" s="146"/>
      <c r="D22" s="120" t="s">
        <v>129</v>
      </c>
      <c r="E22" s="122">
        <v>528000000</v>
      </c>
      <c r="F22" s="122">
        <f>E22</f>
        <v>528000000</v>
      </c>
      <c r="G22" s="122">
        <f>E22*(1-(0.17*(E62-0.00152)))</f>
        <v>525189319.77030945</v>
      </c>
      <c r="H22" s="125">
        <f>G22</f>
        <v>525189319.77030945</v>
      </c>
      <c r="I22" s="73"/>
      <c r="J22" s="67"/>
      <c r="K22" s="67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 ht="15" thickBot="1" x14ac:dyDescent="0.35">
      <c r="B23" s="152" t="s">
        <v>153</v>
      </c>
      <c r="C23" s="153"/>
      <c r="D23" s="13" t="s">
        <v>129</v>
      </c>
      <c r="E23" s="126">
        <v>30606060</v>
      </c>
      <c r="F23" s="126">
        <f>E23</f>
        <v>30606060</v>
      </c>
      <c r="G23" s="126">
        <f>E23*(1-(0.17*(E62-0.033)))</f>
        <v>30606927.436622661</v>
      </c>
      <c r="H23" s="127">
        <f>G23</f>
        <v>30606927.436622661</v>
      </c>
      <c r="I23" s="73"/>
      <c r="J23" s="67"/>
      <c r="K23" s="67"/>
      <c r="L23" s="145">
        <f>SUM(L18:L22)</f>
        <v>189509520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2:21" ht="15" thickBot="1" x14ac:dyDescent="0.35">
      <c r="B24" s="117"/>
      <c r="C24" s="116"/>
      <c r="D24" s="22"/>
      <c r="E24" s="118"/>
      <c r="F24" s="118"/>
      <c r="G24" s="118"/>
      <c r="H24" s="119"/>
      <c r="I24" s="91"/>
      <c r="J24" s="71"/>
      <c r="K24" s="67"/>
    </row>
    <row r="25" spans="2:21" ht="15" customHeight="1" x14ac:dyDescent="0.3">
      <c r="B25" s="134" t="s">
        <v>139</v>
      </c>
      <c r="C25" s="129"/>
      <c r="D25" s="24"/>
      <c r="E25" s="130"/>
      <c r="F25" s="130"/>
      <c r="G25" s="130"/>
      <c r="H25" s="131"/>
      <c r="I25" s="91"/>
      <c r="J25" s="71"/>
      <c r="K25" s="67"/>
    </row>
    <row r="26" spans="2:21" x14ac:dyDescent="0.3">
      <c r="B26" s="135"/>
      <c r="C26" s="132" t="s">
        <v>131</v>
      </c>
      <c r="D26" s="143" t="s">
        <v>129</v>
      </c>
      <c r="E26" s="122">
        <v>498453000</v>
      </c>
      <c r="F26" s="122">
        <f>E26</f>
        <v>498453000</v>
      </c>
      <c r="G26" s="122">
        <f>E26*(1-E$62)</f>
        <v>482087151.87972867</v>
      </c>
      <c r="H26" s="125">
        <f>G26</f>
        <v>482087151.87972867</v>
      </c>
      <c r="I26" s="91"/>
      <c r="J26" s="71"/>
      <c r="K26" s="67"/>
    </row>
    <row r="27" spans="2:21" x14ac:dyDescent="0.3">
      <c r="B27" s="135"/>
      <c r="C27" s="132" t="s">
        <v>132</v>
      </c>
      <c r="D27" s="143" t="s">
        <v>129</v>
      </c>
      <c r="E27" s="122">
        <v>324381000</v>
      </c>
      <c r="F27" s="122">
        <f t="shared" ref="F27:F39" si="0">E27</f>
        <v>324381000</v>
      </c>
      <c r="G27" s="122">
        <f t="shared" ref="G27:G39" si="1">E27*(1-E$62)</f>
        <v>313730507.0165056</v>
      </c>
      <c r="H27" s="125">
        <f t="shared" ref="H27:H39" si="2">G27</f>
        <v>313730507.0165056</v>
      </c>
      <c r="I27" s="91"/>
      <c r="J27" s="71"/>
      <c r="K27" s="67"/>
    </row>
    <row r="28" spans="2:21" x14ac:dyDescent="0.3">
      <c r="B28" s="135"/>
      <c r="C28" s="132" t="s">
        <v>133</v>
      </c>
      <c r="D28" s="143" t="s">
        <v>129</v>
      </c>
      <c r="E28" s="133">
        <v>2432000</v>
      </c>
      <c r="F28" s="122">
        <f t="shared" si="0"/>
        <v>2432000</v>
      </c>
      <c r="G28" s="122">
        <f t="shared" si="1"/>
        <v>2352149.4571634643</v>
      </c>
      <c r="H28" s="125">
        <f t="shared" si="2"/>
        <v>2352149.4571634643</v>
      </c>
      <c r="I28" s="91"/>
      <c r="J28" s="71"/>
      <c r="K28" s="67"/>
    </row>
    <row r="29" spans="2:21" x14ac:dyDescent="0.3">
      <c r="B29" s="135"/>
      <c r="C29" s="132" t="s">
        <v>134</v>
      </c>
      <c r="D29" s="143" t="s">
        <v>129</v>
      </c>
      <c r="E29" s="122">
        <v>30380000</v>
      </c>
      <c r="F29" s="122">
        <f t="shared" si="0"/>
        <v>30380000</v>
      </c>
      <c r="G29" s="122">
        <f t="shared" si="1"/>
        <v>29382524.880191628</v>
      </c>
      <c r="H29" s="125">
        <f t="shared" si="2"/>
        <v>29382524.880191628</v>
      </c>
      <c r="I29" s="91"/>
      <c r="J29" s="71"/>
      <c r="K29" s="67"/>
    </row>
    <row r="30" spans="2:21" x14ac:dyDescent="0.3">
      <c r="B30" s="135"/>
      <c r="C30" s="132" t="s">
        <v>135</v>
      </c>
      <c r="D30" s="143" t="s">
        <v>129</v>
      </c>
      <c r="E30" s="122">
        <v>44000000</v>
      </c>
      <c r="F30" s="122">
        <f t="shared" si="0"/>
        <v>44000000</v>
      </c>
      <c r="G30" s="122">
        <f t="shared" si="1"/>
        <v>42555335.573681094</v>
      </c>
      <c r="H30" s="125">
        <f t="shared" si="2"/>
        <v>42555335.573681094</v>
      </c>
      <c r="I30" s="91"/>
      <c r="J30" s="71"/>
      <c r="K30" s="67"/>
    </row>
    <row r="31" spans="2:21" x14ac:dyDescent="0.3">
      <c r="B31" s="135"/>
      <c r="C31" s="132" t="s">
        <v>137</v>
      </c>
      <c r="D31" s="143" t="s">
        <v>129</v>
      </c>
      <c r="E31" s="122">
        <v>72989000</v>
      </c>
      <c r="F31" s="122">
        <f t="shared" si="0"/>
        <v>72989000</v>
      </c>
      <c r="G31" s="122">
        <f t="shared" si="1"/>
        <v>70592531.54971385</v>
      </c>
      <c r="H31" s="125">
        <f t="shared" si="2"/>
        <v>70592531.54971385</v>
      </c>
      <c r="I31" s="91"/>
      <c r="J31" s="71"/>
      <c r="K31" s="67"/>
    </row>
    <row r="32" spans="2:21" x14ac:dyDescent="0.3">
      <c r="B32" s="135"/>
      <c r="C32" s="132" t="s">
        <v>138</v>
      </c>
      <c r="D32" s="143" t="s">
        <v>129</v>
      </c>
      <c r="E32" s="122">
        <v>156553000</v>
      </c>
      <c r="F32" s="122">
        <f t="shared" si="0"/>
        <v>156553000</v>
      </c>
      <c r="G32" s="122">
        <f t="shared" si="1"/>
        <v>151412851.13787493</v>
      </c>
      <c r="H32" s="125">
        <f t="shared" si="2"/>
        <v>151412851.13787493</v>
      </c>
      <c r="I32" s="91"/>
      <c r="J32" s="71"/>
      <c r="K32" s="67"/>
    </row>
    <row r="33" spans="2:21" x14ac:dyDescent="0.3">
      <c r="B33" s="135"/>
      <c r="C33" s="132" t="s">
        <v>136</v>
      </c>
      <c r="D33" s="143" t="s">
        <v>129</v>
      </c>
      <c r="E33" s="122">
        <v>60941000</v>
      </c>
      <c r="F33" s="122">
        <f t="shared" si="0"/>
        <v>60941000</v>
      </c>
      <c r="G33" s="122">
        <f t="shared" si="1"/>
        <v>58940106.936265901</v>
      </c>
      <c r="H33" s="125">
        <f t="shared" si="2"/>
        <v>58940106.936265901</v>
      </c>
      <c r="I33" s="91"/>
      <c r="J33" s="71"/>
      <c r="K33" s="67"/>
    </row>
    <row r="34" spans="2:21" x14ac:dyDescent="0.3">
      <c r="B34" s="135"/>
      <c r="C34" s="121" t="s">
        <v>130</v>
      </c>
      <c r="D34" s="143" t="s">
        <v>129</v>
      </c>
      <c r="E34" s="122">
        <v>831397000</v>
      </c>
      <c r="F34" s="122">
        <f t="shared" si="0"/>
        <v>831397000</v>
      </c>
      <c r="G34" s="122">
        <f t="shared" si="1"/>
        <v>804099507.49890316</v>
      </c>
      <c r="H34" s="125">
        <f t="shared" si="2"/>
        <v>804099507.49890316</v>
      </c>
      <c r="I34" s="91"/>
      <c r="J34" s="71"/>
      <c r="K34" s="67"/>
    </row>
    <row r="35" spans="2:21" x14ac:dyDescent="0.3">
      <c r="B35" s="135"/>
      <c r="C35" s="132" t="s">
        <v>128</v>
      </c>
      <c r="D35" s="143"/>
      <c r="E35" s="122"/>
      <c r="F35" s="122"/>
      <c r="G35" s="122"/>
      <c r="H35" s="125"/>
      <c r="I35" s="91"/>
      <c r="J35" s="71"/>
      <c r="K35" s="67"/>
    </row>
    <row r="36" spans="2:21" x14ac:dyDescent="0.3">
      <c r="B36" s="135"/>
      <c r="C36" s="132" t="s">
        <v>140</v>
      </c>
      <c r="D36" s="143"/>
      <c r="E36" s="122"/>
      <c r="F36" s="122"/>
      <c r="G36" s="122"/>
      <c r="H36" s="125"/>
      <c r="I36" s="91"/>
      <c r="J36" s="71"/>
      <c r="K36" s="67"/>
    </row>
    <row r="37" spans="2:21" x14ac:dyDescent="0.3">
      <c r="B37" s="135"/>
      <c r="C37" s="132" t="s">
        <v>127</v>
      </c>
      <c r="D37" s="143"/>
      <c r="E37" s="122"/>
      <c r="F37" s="122"/>
      <c r="G37" s="122"/>
      <c r="H37" s="125"/>
      <c r="I37" s="91"/>
      <c r="J37" s="71"/>
      <c r="K37" s="67"/>
    </row>
    <row r="38" spans="2:21" x14ac:dyDescent="0.3">
      <c r="B38" s="135"/>
      <c r="C38" s="132" t="s">
        <v>141</v>
      </c>
      <c r="D38" s="143"/>
      <c r="E38" s="122"/>
      <c r="F38" s="122"/>
      <c r="G38" s="122"/>
      <c r="H38" s="125"/>
      <c r="I38" s="91"/>
      <c r="J38" s="71"/>
      <c r="K38" s="67"/>
    </row>
    <row r="39" spans="2:21" ht="29.4" thickBot="1" x14ac:dyDescent="0.35">
      <c r="B39" s="136"/>
      <c r="C39" s="137" t="s">
        <v>142</v>
      </c>
      <c r="D39" s="144" t="s">
        <v>129</v>
      </c>
      <c r="E39" s="138">
        <f>901796000-E22</f>
        <v>373796000</v>
      </c>
      <c r="F39" s="126">
        <f t="shared" si="0"/>
        <v>373796000</v>
      </c>
      <c r="G39" s="126">
        <f t="shared" si="1"/>
        <v>361523050.36590225</v>
      </c>
      <c r="H39" s="127">
        <f t="shared" si="2"/>
        <v>361523050.36590225</v>
      </c>
      <c r="I39" s="91"/>
      <c r="J39" s="71"/>
      <c r="K39" s="67"/>
    </row>
    <row r="40" spans="2:21" x14ac:dyDescent="0.3">
      <c r="B40" s="117"/>
      <c r="C40" s="116"/>
      <c r="D40" s="22"/>
      <c r="E40" s="128"/>
      <c r="F40" s="118"/>
      <c r="G40" s="118"/>
      <c r="H40" s="119"/>
      <c r="I40" s="91"/>
      <c r="J40" s="71"/>
      <c r="K40" s="67"/>
    </row>
    <row r="41" spans="2:21" ht="7.2" customHeight="1" thickBot="1" x14ac:dyDescent="0.35">
      <c r="E41" s="54"/>
      <c r="F41" s="54"/>
      <c r="G41" s="54"/>
      <c r="H41" s="74"/>
      <c r="I41" s="74"/>
      <c r="J41" s="4"/>
    </row>
    <row r="42" spans="2:21" x14ac:dyDescent="0.3">
      <c r="B42" s="15" t="s">
        <v>143</v>
      </c>
      <c r="C42" s="16"/>
      <c r="D42" s="16"/>
      <c r="E42" s="92"/>
      <c r="F42" s="92"/>
      <c r="G42" s="92"/>
      <c r="H42" s="93"/>
      <c r="I42" s="74"/>
      <c r="J42" s="4"/>
    </row>
    <row r="43" spans="2:21" x14ac:dyDescent="0.3">
      <c r="B43" s="18"/>
      <c r="C43" s="9" t="s">
        <v>55</v>
      </c>
      <c r="D43" s="14" t="s">
        <v>129</v>
      </c>
      <c r="E43" s="94">
        <v>984600000</v>
      </c>
      <c r="F43" s="94">
        <f>E43*(1-I43)</f>
        <v>813279600.00000012</v>
      </c>
      <c r="G43" s="94">
        <f>E43*(1-(0.7*E62))</f>
        <v>961970645.09301102</v>
      </c>
      <c r="H43" s="95">
        <f>G43*(1-I43)</f>
        <v>794587752.84682715</v>
      </c>
      <c r="I43" s="73">
        <v>0.17399999999999999</v>
      </c>
      <c r="J43" s="81" t="s">
        <v>57</v>
      </c>
      <c r="K43" s="85" t="s">
        <v>96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 x14ac:dyDescent="0.3">
      <c r="B44" s="18"/>
      <c r="C44" s="9" t="s">
        <v>60</v>
      </c>
      <c r="D44" s="14" t="s">
        <v>129</v>
      </c>
      <c r="E44" s="96">
        <v>316000000</v>
      </c>
      <c r="F44" s="94">
        <f t="shared" ref="F44:F51" si="3">E44*(1-I44)</f>
        <v>243636000</v>
      </c>
      <c r="G44" s="96">
        <f t="shared" ref="G44:G52" si="4">E44*(1-E$62)</f>
        <v>305624682.75643694</v>
      </c>
      <c r="H44" s="95">
        <f t="shared" ref="H44:H52" si="5">G44*(1-I44)</f>
        <v>235636630.40521288</v>
      </c>
      <c r="I44" s="73">
        <v>0.22900000000000001</v>
      </c>
      <c r="J44" s="81" t="s">
        <v>57</v>
      </c>
      <c r="K44" s="70" t="s">
        <v>42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 x14ac:dyDescent="0.3">
      <c r="B45" s="18"/>
      <c r="C45" s="9" t="s">
        <v>61</v>
      </c>
      <c r="D45" s="14" t="s">
        <v>129</v>
      </c>
      <c r="E45" s="96">
        <v>283333000</v>
      </c>
      <c r="F45" s="94">
        <f t="shared" si="3"/>
        <v>223549737</v>
      </c>
      <c r="G45" s="96">
        <f t="shared" si="4"/>
        <v>274030247.59313148</v>
      </c>
      <c r="H45" s="95">
        <f t="shared" si="5"/>
        <v>216209865.35098076</v>
      </c>
      <c r="I45" s="73">
        <v>0.21099999999999999</v>
      </c>
      <c r="J45" s="62" t="s">
        <v>63</v>
      </c>
      <c r="K45" s="70" t="s">
        <v>42</v>
      </c>
    </row>
    <row r="46" spans="2:21" x14ac:dyDescent="0.3">
      <c r="B46" s="18"/>
      <c r="C46" s="9" t="s">
        <v>65</v>
      </c>
      <c r="D46" s="14" t="s">
        <v>129</v>
      </c>
      <c r="E46" s="96">
        <v>143333000</v>
      </c>
      <c r="F46" s="94">
        <f t="shared" si="3"/>
        <v>113089737</v>
      </c>
      <c r="G46" s="96">
        <f t="shared" si="4"/>
        <v>138626907.13141891</v>
      </c>
      <c r="H46" s="95">
        <f t="shared" si="5"/>
        <v>109376629.72668953</v>
      </c>
      <c r="I46" s="73">
        <v>0.21099999999999999</v>
      </c>
      <c r="J46" s="62" t="s">
        <v>63</v>
      </c>
      <c r="K46" s="70" t="s">
        <v>42</v>
      </c>
    </row>
    <row r="47" spans="2:21" x14ac:dyDescent="0.3">
      <c r="B47" s="18"/>
      <c r="C47" s="9" t="s">
        <v>67</v>
      </c>
      <c r="D47" s="14" t="s">
        <v>129</v>
      </c>
      <c r="E47" s="96">
        <v>133333000</v>
      </c>
      <c r="F47" s="94">
        <f t="shared" si="3"/>
        <v>105199737</v>
      </c>
      <c r="G47" s="96">
        <f t="shared" si="4"/>
        <v>128955239.95558231</v>
      </c>
      <c r="H47" s="95">
        <f t="shared" si="5"/>
        <v>101745684.32495445</v>
      </c>
      <c r="I47" s="73">
        <v>0.21099999999999999</v>
      </c>
      <c r="J47" s="62" t="s">
        <v>63</v>
      </c>
      <c r="K47" s="70" t="s">
        <v>42</v>
      </c>
    </row>
    <row r="48" spans="2:21" x14ac:dyDescent="0.3">
      <c r="B48" s="18"/>
      <c r="C48" s="9" t="s">
        <v>68</v>
      </c>
      <c r="D48" s="14" t="s">
        <v>129</v>
      </c>
      <c r="E48" s="96">
        <v>125000000</v>
      </c>
      <c r="F48" s="94">
        <f t="shared" si="3"/>
        <v>95875000</v>
      </c>
      <c r="G48" s="96">
        <f t="shared" si="4"/>
        <v>120895839.69795765</v>
      </c>
      <c r="H48" s="95">
        <f t="shared" si="5"/>
        <v>92727109.048333526</v>
      </c>
      <c r="I48" s="73">
        <v>0.23300000000000001</v>
      </c>
      <c r="J48" s="81" t="s">
        <v>57</v>
      </c>
      <c r="K48" s="70" t="s">
        <v>42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 x14ac:dyDescent="0.3">
      <c r="B49" s="18"/>
      <c r="C49" s="9" t="s">
        <v>69</v>
      </c>
      <c r="D49" s="14" t="s">
        <v>129</v>
      </c>
      <c r="E49" s="96">
        <v>83333000</v>
      </c>
      <c r="F49" s="94">
        <f t="shared" si="3"/>
        <v>65749737</v>
      </c>
      <c r="G49" s="96">
        <f t="shared" si="4"/>
        <v>80596904.076399237</v>
      </c>
      <c r="H49" s="95">
        <f t="shared" si="5"/>
        <v>63590957.316279002</v>
      </c>
      <c r="I49" s="73">
        <v>0.21099999999999999</v>
      </c>
      <c r="J49" s="62" t="s">
        <v>63</v>
      </c>
      <c r="K49" s="70" t="s">
        <v>42</v>
      </c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 x14ac:dyDescent="0.3">
      <c r="B50" s="18"/>
      <c r="C50" s="9" t="s">
        <v>73</v>
      </c>
      <c r="D50" s="14" t="s">
        <v>129</v>
      </c>
      <c r="E50" s="96">
        <v>75000000</v>
      </c>
      <c r="F50" s="94">
        <f t="shared" si="3"/>
        <v>60224999.999999993</v>
      </c>
      <c r="G50" s="96">
        <f t="shared" si="4"/>
        <v>72537503.818774596</v>
      </c>
      <c r="H50" s="95">
        <f t="shared" si="5"/>
        <v>58247615.566475995</v>
      </c>
      <c r="I50" s="73">
        <v>0.19700000000000001</v>
      </c>
      <c r="J50" s="81" t="s">
        <v>57</v>
      </c>
      <c r="K50" s="70" t="s">
        <v>42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2:21" x14ac:dyDescent="0.3">
      <c r="B51" s="18"/>
      <c r="C51" s="9" t="s">
        <v>70</v>
      </c>
      <c r="D51" s="14" t="s">
        <v>129</v>
      </c>
      <c r="E51" s="96">
        <v>25000000</v>
      </c>
      <c r="F51" s="94">
        <f t="shared" si="3"/>
        <v>19725000</v>
      </c>
      <c r="G51" s="96">
        <f t="shared" si="4"/>
        <v>24179167.939591531</v>
      </c>
      <c r="H51" s="95">
        <f t="shared" si="5"/>
        <v>19077363.504337717</v>
      </c>
      <c r="I51" s="73">
        <v>0.21099999999999999</v>
      </c>
      <c r="J51" s="62" t="s">
        <v>63</v>
      </c>
      <c r="K51" s="70" t="s">
        <v>42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2:21" ht="15" thickBot="1" x14ac:dyDescent="0.35">
      <c r="B52" s="19"/>
      <c r="C52" s="20" t="s">
        <v>71</v>
      </c>
      <c r="D52" s="25" t="s">
        <v>129</v>
      </c>
      <c r="E52" s="97">
        <v>16667000</v>
      </c>
      <c r="F52" s="97">
        <f>E52*(1-I52)</f>
        <v>13150263</v>
      </c>
      <c r="G52" s="98">
        <f t="shared" si="4"/>
        <v>16119767.681966882</v>
      </c>
      <c r="H52" s="99">
        <f t="shared" si="5"/>
        <v>12718496.701071871</v>
      </c>
      <c r="I52" s="73">
        <v>0.21099999999999999</v>
      </c>
      <c r="J52" s="62" t="s">
        <v>63</v>
      </c>
      <c r="K52" s="70" t="s">
        <v>42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2:21" ht="7.2" customHeight="1" thickBot="1" x14ac:dyDescent="0.35">
      <c r="B53" s="21"/>
      <c r="C53" s="9"/>
      <c r="D53" s="22"/>
      <c r="E53" s="88"/>
      <c r="F53" s="88"/>
      <c r="G53" s="88"/>
      <c r="H53" s="100"/>
      <c r="I53" s="74"/>
      <c r="J53" s="4"/>
    </row>
    <row r="54" spans="2:21" x14ac:dyDescent="0.3">
      <c r="B54" s="15" t="s">
        <v>144</v>
      </c>
      <c r="C54" s="23"/>
      <c r="D54" s="24"/>
      <c r="E54" s="101"/>
      <c r="F54" s="101"/>
      <c r="G54" s="101"/>
      <c r="H54" s="102"/>
      <c r="I54" s="74"/>
      <c r="J54" s="4"/>
    </row>
    <row r="55" spans="2:21" x14ac:dyDescent="0.3">
      <c r="B55" s="18"/>
      <c r="C55" s="6" t="s">
        <v>78</v>
      </c>
      <c r="D55" s="14" t="s">
        <v>129</v>
      </c>
      <c r="E55" s="96">
        <v>2102500000</v>
      </c>
      <c r="F55" s="96">
        <f>E55*(1-I55)</f>
        <v>1518005000</v>
      </c>
      <c r="G55" s="96">
        <f>E55*(1-(E62*0.59))</f>
        <v>2061771133.9945922</v>
      </c>
      <c r="H55" s="95">
        <f>G55*(1-I55)</f>
        <v>1488598758.7440956</v>
      </c>
      <c r="I55" s="73">
        <v>0.27800000000000002</v>
      </c>
      <c r="J55" s="81" t="s">
        <v>57</v>
      </c>
      <c r="K55" s="85" t="s">
        <v>98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 x14ac:dyDescent="0.3">
      <c r="B56" s="18"/>
      <c r="C56" s="6" t="s">
        <v>79</v>
      </c>
      <c r="D56" s="14" t="s">
        <v>129</v>
      </c>
      <c r="E56" s="96">
        <v>702500000</v>
      </c>
      <c r="F56" s="96">
        <f>E56*(1-I56)</f>
        <v>481914999.99999994</v>
      </c>
      <c r="G56" s="96">
        <f>E56*(1-(E62*0.4))</f>
        <v>693273847.64100873</v>
      </c>
      <c r="H56" s="95">
        <f>G56*(1-I56)</f>
        <v>475585859.48173195</v>
      </c>
      <c r="I56" s="73">
        <v>0.314</v>
      </c>
      <c r="J56" s="81" t="s">
        <v>57</v>
      </c>
      <c r="K56" s="85" t="s">
        <v>107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 ht="14.4" customHeight="1" x14ac:dyDescent="0.3">
      <c r="B57" s="18"/>
      <c r="C57" s="6" t="s">
        <v>80</v>
      </c>
      <c r="D57" s="14" t="s">
        <v>129</v>
      </c>
      <c r="E57" s="96">
        <v>503333000</v>
      </c>
      <c r="F57" s="96">
        <f>E57*(1-I57)</f>
        <v>394109739</v>
      </c>
      <c r="G57" s="96">
        <f>E57*(1-E$62)</f>
        <v>486806925.46153694</v>
      </c>
      <c r="H57" s="95">
        <f>G57*(1-I57)</f>
        <v>381169822.63638341</v>
      </c>
      <c r="I57" s="73">
        <v>0.217</v>
      </c>
      <c r="J57" s="81" t="s">
        <v>57</v>
      </c>
      <c r="K57" s="70" t="s">
        <v>42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2:21" x14ac:dyDescent="0.3">
      <c r="B58" s="18"/>
      <c r="C58" s="6" t="s">
        <v>81</v>
      </c>
      <c r="D58" s="14" t="s">
        <v>129</v>
      </c>
      <c r="E58" s="96">
        <v>39833000</v>
      </c>
      <c r="F58" s="96">
        <f>E58*(1-I58)</f>
        <v>29078090</v>
      </c>
      <c r="G58" s="96">
        <f>E58*(1-E$62)</f>
        <v>38525151.861509979</v>
      </c>
      <c r="H58" s="95">
        <f>G58*(1-I58)</f>
        <v>28123360.858902283</v>
      </c>
      <c r="I58" s="76">
        <v>0.27</v>
      </c>
      <c r="J58" s="63" t="s">
        <v>40</v>
      </c>
      <c r="K58" s="70" t="s">
        <v>42</v>
      </c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2:21" ht="15" thickBot="1" x14ac:dyDescent="0.35">
      <c r="B59" s="19"/>
      <c r="C59" s="7" t="s">
        <v>82</v>
      </c>
      <c r="D59" s="25" t="s">
        <v>129</v>
      </c>
      <c r="E59" s="97">
        <v>5000000</v>
      </c>
      <c r="F59" s="97">
        <f>E59*(1-I59)</f>
        <v>0</v>
      </c>
      <c r="G59" s="98">
        <f>E59*(1-E$62)</f>
        <v>4835833.5879183058</v>
      </c>
      <c r="H59" s="98">
        <f>G59*(1-I59)</f>
        <v>0</v>
      </c>
      <c r="I59" s="75">
        <v>1</v>
      </c>
      <c r="J59" s="63" t="s">
        <v>41</v>
      </c>
      <c r="K59" s="70" t="s">
        <v>42</v>
      </c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2:21" ht="6" customHeight="1" thickBot="1" x14ac:dyDescent="0.35">
      <c r="C60" s="1"/>
      <c r="D60" s="11"/>
      <c r="E60" s="2"/>
      <c r="F60" s="2"/>
      <c r="G60" s="2"/>
      <c r="H60" s="2"/>
      <c r="I60" s="54"/>
      <c r="J60" s="62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2:21" ht="77.400000000000006" customHeight="1" thickBot="1" x14ac:dyDescent="0.35">
      <c r="C61" s="1"/>
      <c r="D61" s="11"/>
      <c r="E61" s="103" t="s">
        <v>114</v>
      </c>
      <c r="F61" s="103" t="s">
        <v>115</v>
      </c>
      <c r="G61" s="103" t="s">
        <v>116</v>
      </c>
      <c r="H61" s="103" t="s">
        <v>117</v>
      </c>
      <c r="I61" s="54"/>
      <c r="J61" s="62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2:21" ht="15" thickBot="1" x14ac:dyDescent="0.35">
      <c r="B62" s="21"/>
      <c r="C62" s="51"/>
      <c r="D62" s="90" t="s">
        <v>118</v>
      </c>
      <c r="E62" s="66">
        <f>(D15+IF(D18="x",E18*0.06,0)+IF(D19="x",E19*0.06,0)+IF(D20="x",E20*0.0425,0)+IF(D21="x",E21*0.059,0)+IF(D22="x",800000,0)+IF(D23="x",E23*0.033,0))/(E15+IF(D18="x",E18,0)+IF(D19="x",E19,0)+IF(D20="x",E20,0)+IF(D21="x",E21,0)+IF(D22="x",E22,0)+IF(D23="x",E23,0)+IF(D26="x",E26,0)+IF(D27="x",E27,0)+IF(D28="x",E28,0)+IF(D29="x",E29,0)+IF(D30="x",E30,0)+IF(D31="x",E31,0)+IF(D32="x",E32,0)+IF(D33="x",E33,0)+IF(D34="x",E34,0)+IF(D35="x",E35,0)+IF(D36="x",E36,0)+IF(D37="x",E37,0)+IF(D38="x",E38,0)+IF(D39="x",E39,0)+IF(D43="x",E43,0)+IF(D44="x",E44,0)+IF(D45="x",E45,0)+IF(D46="x",E46,0)+IF(D47="x",E47,0)+IF(D48="x",E48,0)+IF(D49="x",E49,0)+IF(D50="x",E50,0)+IF(D51="x",E51,0)+IF(D52="x",E52,0)+IF(D55="x",E55,0)+IF(D56="x",E56,0)+IF(D57="x",E57,0)+IF(D58="x",E58,0)+IF(D59="x",E59,0))</f>
        <v>3.2833282416338753E-2</v>
      </c>
      <c r="F62" s="66">
        <f>(D15+IF(D18="x",F18*0.06,0)+IF(D19="x",F19*0.06,0)+IF(D20="x",F20*0.0425,0)+IF(D21="x",F21*0.059,0)+IF(D22="x",800000,0)+IF(D23="x",F23*0.033,0))/(E15+IF(D18="x",F18,0)+IF(D19="x",F19,0)+IF(D20="x",F20,0)+IF(D21="x",F21,0)+IF(D22="x",F22,0)+IF(D23="x",F23,0)+IF(D26="x",F26,0)+IF(D27="x",F27,0)+IF(D28="x",F28,0)+IF(D29="x",F29,0)+IF(D30="x",F30,0)+IF(D31="x",F31,0)+IF(D32="x",F32,0)+IF(D33="x",F33,0)+IF(D34="x",F34,0)+IF(D35="x",F35,0)+IF(D36="x",F36,0)+IF(D37="x",F37,0)+IF(D38="x",F38,0)+IF(D39="x",F39,0)+IF(D43="x",F43,0)+IF(D44="x",F44,0)+IF(D45="x",F45,0)+IF(D46="x",F46,0)+IF(D47="x",F47,0)+IF(D48="x",F48,0)+IF(D49="x",F49,0)+IF(D50="x",F50,0)+IF(D51="x",F51,0)+IF(D52="x",F52,0)+IF(D55="x",F55,0)+IF(D56="x",F56,0)+IF(D57="x",F57,0)+IF(D58="x",F58,0)+IF(D59="x",F59,0))</f>
        <v>3.5401802394487557E-2</v>
      </c>
      <c r="G62" s="66">
        <f>(D15+IF(D18="x",G18*0.06,0)+IF(D19="x",G19*0.06,0)+IF(D20="x",G20*0.0425,0)+IF(D21="x",G21*0.059,0)+IF(D22="x",800000,0)+IF(D23="x",G23*0.033,0))/(E15+IF(D18="x",G18,0)+IF(D19="x",G19,0)+IF(D20="x",G20,0)+IF(D21="x",G21,0)+IF(D22="x",G22,0)+IF(D23="x",G23,0)+IF(D26="x",G26,0)+IF(D27="x",G27,0)+IF(D28="x",G28,0)+IF(D29="x",G29,0)+IF(D30="x",G30,0)+IF(D31="x",G31,0)+IF(D32="x",G32,0)+IF(D33="x",G33,0)+IF(D34="x",G34,0)+IF(D35="x",G35,0)+IF(D36="x",G36,0)+IF(D37="x",G37,0)+IF(D38="x",G38,0)+IF(D39="x",G39,0)+IF(D43="x",G43,0)+IF(D44="x",G44,0)+IF(D45="x",G45,0)+IF(D46="x",G46,0)+IF(D47="x",G47,0)+IF(D48="x",G48,0)+IF(D49="x",G49,0)+IF(D50="x",G50,0)+IF(D51="x",G51,0)+IF(D52="x",G52,0)+IF(D55="x",G55,0)+IF(D56="x",G56,0)+IF(D57="x",G57,0)+IF(D58="x",G58,0)+IF(D59="x",G59,0))</f>
        <v>3.3228469327305089E-2</v>
      </c>
      <c r="H62" s="66">
        <f>(D15+IF(D18="x",H18*0.06,0)+IF(D19="x",H19*0.06,0)+IF(D20="x",H20*0.0425,0)+IF(D21="x",H21*0.059,0)+IF(D22="x",800000,0)+IF(D23="x",H23*0.033,0))/(E15+IF(D18="x",H18,0)+IF(D19="x",H19,0)+IF(D20="x",H20,0)+IF(D21="x",H21,0)+IF(D22="x",H22,0)+IF(D23="x",H23,0)+IF(D26="x",H26,0)+IF(D27="x",H27,0)+IF(D28="x",H28,0)+IF(D29="x",H29,0)+IF(D30="x",H30,0)+IF(D31="x",H31,0)+IF(D32="x",H32,0)+IF(D33="x",H33,0)+IF(D34="x",H34,0)+IF(D35="x",H35,0)+IF(D36="x",H36,0)+IF(D37="x",H37,0)+IF(D38="x",H38,0)+IF(D39="x",H39,0)+IF(D43="x",H43,0)+IF(D44="x",H44,0)+IF(D45="x",H45,0)+IF(D46="x",H46,0)+IF(D47="x",H47,0)+IF(D48="x",H48,0)+IF(D49="x",H49,0)+IF(D50="x",H50,0)+IF(D51="x",H51,0)+IF(D52="x",H52,0)+IF(D55="x",H55,0)+IF(D56="x",H56,0)+IF(D57="x",H57,0)+IF(D58="x",H58,0)+IF(D59="x",H59,0))</f>
        <v>3.579351381680785E-2</v>
      </c>
      <c r="I62" s="54"/>
      <c r="J62" s="36"/>
    </row>
    <row r="63" spans="2:21" ht="15" thickBot="1" x14ac:dyDescent="0.35">
      <c r="B63" s="21"/>
      <c r="C63" s="51"/>
      <c r="D63" s="52"/>
      <c r="E63" s="38"/>
      <c r="F63" s="38"/>
      <c r="G63" s="38"/>
      <c r="H63" s="46"/>
      <c r="I63" s="54"/>
      <c r="J63" s="36"/>
    </row>
    <row r="64" spans="2:21" x14ac:dyDescent="0.3">
      <c r="C64" s="48" t="s">
        <v>120</v>
      </c>
      <c r="D64" s="82"/>
      <c r="E64" s="139" t="s">
        <v>121</v>
      </c>
      <c r="F64" s="140"/>
      <c r="G64" s="139" t="s">
        <v>122</v>
      </c>
      <c r="H64" s="140"/>
      <c r="I64" s="54"/>
      <c r="J64" s="58"/>
    </row>
    <row r="65" spans="2:10" x14ac:dyDescent="0.3">
      <c r="C65" s="42"/>
      <c r="D65" s="105" t="s">
        <v>32</v>
      </c>
      <c r="E65" s="107" t="s">
        <v>33</v>
      </c>
      <c r="F65" s="108" t="s">
        <v>34</v>
      </c>
      <c r="G65" s="104" t="s">
        <v>33</v>
      </c>
      <c r="H65" s="47" t="s">
        <v>34</v>
      </c>
      <c r="I65" s="54"/>
      <c r="J65" s="58"/>
    </row>
    <row r="66" spans="2:10" x14ac:dyDescent="0.3">
      <c r="C66" s="42"/>
      <c r="D66" s="105" t="s">
        <v>28</v>
      </c>
      <c r="E66" s="107">
        <f>E15</f>
        <v>6990997920.3900003</v>
      </c>
      <c r="F66" s="108">
        <f>E15</f>
        <v>6990997920.3900003</v>
      </c>
      <c r="G66" s="104">
        <f>F15</f>
        <v>7180920386.5211983</v>
      </c>
      <c r="H66" s="108">
        <f>G66</f>
        <v>7180920386.5211983</v>
      </c>
      <c r="I66" s="54"/>
      <c r="J66" s="58"/>
    </row>
    <row r="67" spans="2:10" x14ac:dyDescent="0.3">
      <c r="C67" s="42"/>
      <c r="D67" s="105" t="s">
        <v>29</v>
      </c>
      <c r="E67" s="107">
        <f>E66+IF(D18="x",E18,0)+IF(D19="x",E19,0)+IF(D20="x",E20,0)+IF(D21="x",E21,0)+IF(D22="x",E22,0)+IF(D23="x",E23,0)+IF(D26="x",E26,0)+IF(D27="x",E27,0)+IF(D28="x",E28,0)+IF(D29="x",E29,0)+IF(D30="x",E30,0)+IF(D31="x",E31,0)+IF(D32="x",E32,0)+IF(D33="x",E33,0)+IF(D34="x",E34,0)+IF(D35="x",E35,0)+IF(D36="x",E36,0)+IF(D37="x",E37,0)+IF(D38="x",E38,0)+IF(D39="x",E39,0)+IF(D43="x",E43,0)+IF(D44="x",E44,0)+IF(D45="x",E45,0)+IF(D46="x",E46,0)+IF(D47="x",E47,0)+IF(D48="x",E48,0)+IF(D49="x",E49,0)+IF(D50="x",E50,0)+IF(D51="x",E51,0)+IF(D52="x",E52,0)+IF(D55="x",E55,0)+IF(D56="x",E56,0)+IF(D57="x",E57,0)+IF(D58="x",E58,0)+IF(D59="x",E59,0)</f>
        <v>18774833030.389999</v>
      </c>
      <c r="F67" s="108">
        <f>(F66+IF(D18="x",F18,0)+IF(D19="x",F19,0)+IF(D20="x",F20,0)+IF(D21="x",F21,0)+IF(D22="x",F22,0)+IF(D23="x",F23,0)+IF(D26="x",F26,0)+IF(D27="x",F27,0)+IF(D28="x",F28,0)+IF(D29="x",F29,0)+IF(D30="x",F30,0)+IF(D31="x",F31,0)+IF(D32="x",F32,0)+IF(D33="x",F33,0)+IF(D34="x",F34,0)+IF(D35="x",F35,0)+IF(D36="x",F36,0)+IF(D37="x",F37,0)+IF(D38="x",F38,0)+IF(D39="x",F39,0)+IF(D43="x",F43,0)+IF(D44="x",F44,0)+IF(D45="x",F45,0)+IF(D46="x",F46,0)+IF(D47="x",F47,0)+IF(D48="x",F48,0)+IF(D49="x",F49,0)+IF(D50="x",F50,0)+IF(D51="x",F51,0)+IF(D52="x",F52,0)+IF(D55="x",F55,0)+IF(D56="x",F56,0)+IF(D57="x",F57,0)+IF(D58="x",F58,0)+IF(D59="x",F59,0))</f>
        <v>17412655670.389999</v>
      </c>
      <c r="G67" s="104">
        <f>(G66+IF(D18="x",G18,0)+IF(D19="x",G19,0)+IF(D20="x",G20,0)+IF(D21="x",G21,0)+IF(D22="x",G22,0)+IF(D23="x",G23,0)+IF(D26="x",G26,0)+IF(D27="x",G27,0)+IF(D28="x",G28,0)+IF(D29="x",G29,0)+IF(D30="x",G30,0)+IF(D31="x",G31,0)+IF(D32="x",G32,0)+IF(D33="x",G33,0)+IF(D34="x",G34,0)+IF(D35="x",G35,0)+IF(D36="x",G36,0)+IF(D37="x",G37,0)+IF(D38="x",G38,0)+IF(D39="x",G39,0)+IF(D43="x",G43,0)+IF(D44="x",G44,0)+IF(D45="x",G45,0)+IF(D46="x",G46,0)+IF(D47="x",G47,0)+IF(D48="x",G48,0)+IF(D49="x",G49,0)+IF(D50="x",G50,0)+IF(D51="x",G51,0)+IF(D52="x",G52,0)+IF(D55="x",G55,0)+IF(D56="x",G56,0)+IF(D57="x",G57,0)+IF(D58="x",G58,0)+IF(D59="x",G59,0))</f>
        <v>18768092987.327419</v>
      </c>
      <c r="H67" s="108">
        <f>(H66+IF(D18="x",H18,0)+IF(D19="x",H19,0)+IF(D20="x",H20,0)+IF(D21="x",H21,0)+IF(D22="x",H22,0)+IF(D23="x",H23,0)+IF(D26="x",H26,0)+IF(D27="x",H27,0)+IF(D28="x",H28,0)+IF(D29="x",H29,0)+IF(D30="x",H30,0)+IF(D31="x",H31,0)+IF(D32="x",H32,0)+IF(D33="x",H33,0)+IF(D34="x",H34,0)+IF(D35="x",H35,0)+IF(D36="x",H36,0)+IF(D37="x",H37,0)+IF(D38="x",H38,0)+IF(D39="x",H39,0)+IF(D43="x",H43,0)+IF(D44="x",H44,0)+IF(D45="x",H45,0)+IF(D46="x",H46,0)+IF(D47="x",H47,0)+IF(D48="x",H48,0)+IF(D49="x",H49,0)+IF(D50="x",H50,0)+IF(D51="x",H51,0)+IF(D52="x",H52,0)+IF(D55="x",H55,0)+IF(D56="x",H56,0)+IF(D57="x",H57,0)+IF(D58="x",H58,0)+IF(D59="x",H59,0))</f>
        <v>17436739095.548855</v>
      </c>
      <c r="I67" s="54"/>
    </row>
    <row r="68" spans="2:10" x14ac:dyDescent="0.3">
      <c r="C68" s="42"/>
      <c r="D68" s="105" t="s">
        <v>30</v>
      </c>
      <c r="E68" s="109">
        <v>0.06</v>
      </c>
      <c r="F68" s="110">
        <f>E68</f>
        <v>0.06</v>
      </c>
      <c r="G68" s="111">
        <f>E68</f>
        <v>0.06</v>
      </c>
      <c r="H68" s="112">
        <f>E68</f>
        <v>0.06</v>
      </c>
      <c r="I68" s="54"/>
      <c r="J68" s="59"/>
    </row>
    <row r="69" spans="2:10" ht="15" thickBot="1" x14ac:dyDescent="0.35">
      <c r="C69" s="44"/>
      <c r="D69" s="106" t="s">
        <v>31</v>
      </c>
      <c r="E69" s="113">
        <f>(E67*E68)-(D15)-IF(D18="x",E18*0.06,0)-IF(D19="x",E19*0.06,0)-IF(D20="x",E20*0.045,0)-IF(D21="x",E21*0.059,0)-IF(D22="x",800000,0)-IF(D23="x",E23*0.033,0)</f>
        <v>509722351.32200003</v>
      </c>
      <c r="F69" s="114">
        <f>(F67*F68)-(D15)-IF(D18="x",F18*0.06,0)-IF(D19="x",F19*0.06,0)-IF(D20="x",F20*0.045,0)-IF(D21="x",F21*0.059,0)-IF(D22="x",800000,0)-IF(D23="x",F23*0.033,0)</f>
        <v>427991709.72199988</v>
      </c>
      <c r="G69" s="115">
        <f>(G67*G68)-(D15)-IF(D18="x",G18*0.06,0)-IF(D19="x",G19*0.06,0)-IF(D20="x",G20*0.045,0)-IF(D21="x",G21*0.059,0)-IF(D22="x",800000,0)-IF(D23="x",G23*0.033,0)</f>
        <v>508432635.22079015</v>
      </c>
      <c r="H69" s="114">
        <f>(H67*H68)-(D15)-IF(D18="x",H18*0.06,0)-IF(D19="x",H19*0.06,0)-IF(D20="x",H20*0.045,0)-IF(D21="x",H21*0.059,0)-IF(D22="x",800000,0)-IF(D23="x",H23*0.033,0)</f>
        <v>428551401.7140764</v>
      </c>
      <c r="I69" s="54"/>
    </row>
    <row r="70" spans="2:10" x14ac:dyDescent="0.3">
      <c r="C70" s="34"/>
      <c r="D70" s="2"/>
      <c r="G70" s="36"/>
    </row>
    <row r="71" spans="2:10" x14ac:dyDescent="0.3">
      <c r="B71" s="26" t="s">
        <v>15</v>
      </c>
      <c r="D71" s="2"/>
      <c r="E71" s="36"/>
      <c r="F71" s="36"/>
    </row>
    <row r="72" spans="2:10" x14ac:dyDescent="0.3">
      <c r="B72" s="80" t="s">
        <v>49</v>
      </c>
      <c r="D72" s="2"/>
      <c r="E72" s="36"/>
      <c r="F72" s="36"/>
    </row>
    <row r="73" spans="2:10" x14ac:dyDescent="0.3">
      <c r="B73" s="60" t="s">
        <v>123</v>
      </c>
      <c r="D73" s="2"/>
      <c r="E73" s="36"/>
      <c r="F73" s="36"/>
    </row>
    <row r="74" spans="2:10" x14ac:dyDescent="0.3">
      <c r="B74" t="s">
        <v>124</v>
      </c>
    </row>
    <row r="75" spans="2:10" x14ac:dyDescent="0.3">
      <c r="D75" t="s">
        <v>125</v>
      </c>
    </row>
    <row r="76" spans="2:10" x14ac:dyDescent="0.3">
      <c r="B76" t="s">
        <v>87</v>
      </c>
    </row>
    <row r="77" spans="2:10" x14ac:dyDescent="0.3">
      <c r="C77" t="s">
        <v>85</v>
      </c>
    </row>
    <row r="78" spans="2:10" x14ac:dyDescent="0.3">
      <c r="C78" t="s">
        <v>83</v>
      </c>
    </row>
    <row r="79" spans="2:10" x14ac:dyDescent="0.3">
      <c r="C79" t="s">
        <v>86</v>
      </c>
    </row>
    <row r="80" spans="2:10" x14ac:dyDescent="0.3">
      <c r="C80" t="s">
        <v>84</v>
      </c>
    </row>
    <row r="81" spans="2:3" x14ac:dyDescent="0.3">
      <c r="C81" t="s">
        <v>88</v>
      </c>
    </row>
    <row r="82" spans="2:3" x14ac:dyDescent="0.3">
      <c r="B82" t="s">
        <v>54</v>
      </c>
    </row>
    <row r="83" spans="2:3" x14ac:dyDescent="0.3">
      <c r="B83" t="s">
        <v>56</v>
      </c>
    </row>
    <row r="84" spans="2:3" x14ac:dyDescent="0.3">
      <c r="B84" t="s">
        <v>89</v>
      </c>
    </row>
    <row r="85" spans="2:3" x14ac:dyDescent="0.3">
      <c r="C85" t="s">
        <v>90</v>
      </c>
    </row>
    <row r="86" spans="2:3" x14ac:dyDescent="0.3">
      <c r="B86" t="s">
        <v>58</v>
      </c>
    </row>
    <row r="87" spans="2:3" x14ac:dyDescent="0.3">
      <c r="B87" t="s">
        <v>59</v>
      </c>
    </row>
    <row r="88" spans="2:3" x14ac:dyDescent="0.3">
      <c r="B88" t="s">
        <v>62</v>
      </c>
    </row>
    <row r="89" spans="2:3" x14ac:dyDescent="0.3">
      <c r="B89" t="s">
        <v>64</v>
      </c>
    </row>
    <row r="90" spans="2:3" x14ac:dyDescent="0.3">
      <c r="B90" t="s">
        <v>66</v>
      </c>
    </row>
    <row r="91" spans="2:3" x14ac:dyDescent="0.3">
      <c r="B91" t="s">
        <v>72</v>
      </c>
    </row>
    <row r="92" spans="2:3" x14ac:dyDescent="0.3">
      <c r="B92" t="s">
        <v>74</v>
      </c>
    </row>
    <row r="93" spans="2:3" x14ac:dyDescent="0.3">
      <c r="B93" t="s">
        <v>75</v>
      </c>
    </row>
    <row r="94" spans="2:3" x14ac:dyDescent="0.3">
      <c r="B94" s="60" t="s">
        <v>76</v>
      </c>
    </row>
    <row r="95" spans="2:3" x14ac:dyDescent="0.3">
      <c r="B95" t="s">
        <v>77</v>
      </c>
    </row>
    <row r="96" spans="2:3" x14ac:dyDescent="0.3">
      <c r="B96" t="s">
        <v>94</v>
      </c>
    </row>
    <row r="97" spans="2:3" x14ac:dyDescent="0.3">
      <c r="B97" t="s">
        <v>93</v>
      </c>
    </row>
    <row r="98" spans="2:3" x14ac:dyDescent="0.3">
      <c r="B98" t="s">
        <v>95</v>
      </c>
    </row>
    <row r="99" spans="2:3" x14ac:dyDescent="0.3">
      <c r="B99" t="s">
        <v>97</v>
      </c>
    </row>
    <row r="100" spans="2:3" x14ac:dyDescent="0.3">
      <c r="B100" t="s">
        <v>108</v>
      </c>
    </row>
    <row r="103" spans="2:3" x14ac:dyDescent="0.3">
      <c r="C103" s="57"/>
    </row>
    <row r="104" spans="2:3" x14ac:dyDescent="0.3">
      <c r="C104" s="57"/>
    </row>
    <row r="106" spans="2:3" x14ac:dyDescent="0.3">
      <c r="B106" s="60"/>
    </row>
    <row r="107" spans="2:3" x14ac:dyDescent="0.3">
      <c r="B107" s="61"/>
    </row>
  </sheetData>
  <mergeCells count="8">
    <mergeCell ref="B23:C23"/>
    <mergeCell ref="B22:C22"/>
    <mergeCell ref="B18:C18"/>
    <mergeCell ref="B19:C19"/>
    <mergeCell ref="B20:C20"/>
    <mergeCell ref="B21:C21"/>
    <mergeCell ref="E64:F64"/>
    <mergeCell ref="G64:H64"/>
  </mergeCells>
  <phoneticPr fontId="3" type="noConversion"/>
  <pageMargins left="0.7" right="0.7" top="0.75" bottom="0.75" header="0.3" footer="0.3"/>
  <ignoredErrors>
    <ignoredError sqref="G18 G19 G20 G21 G22 G23 G26:G34 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8745-9C00-48AC-A122-B8258BED1B81}">
  <dimension ref="A1:K32"/>
  <sheetViews>
    <sheetView workbookViewId="0">
      <selection activeCell="D33" sqref="D33"/>
    </sheetView>
  </sheetViews>
  <sheetFormatPr defaultRowHeight="14.4" x14ac:dyDescent="0.3"/>
  <cols>
    <col min="1" max="1" width="11.44140625" customWidth="1"/>
    <col min="2" max="2" width="14" customWidth="1"/>
    <col min="3" max="3" width="10.88671875" customWidth="1"/>
    <col min="4" max="4" width="10" bestFit="1" customWidth="1"/>
    <col min="5" max="5" width="12" bestFit="1" customWidth="1"/>
    <col min="6" max="6" width="11" bestFit="1" customWidth="1"/>
    <col min="8" max="8" width="12" bestFit="1" customWidth="1"/>
    <col min="10" max="10" width="12" bestFit="1" customWidth="1"/>
  </cols>
  <sheetData>
    <row r="1" spans="1:11" x14ac:dyDescent="0.3">
      <c r="A1">
        <v>2012</v>
      </c>
      <c r="B1">
        <v>2016</v>
      </c>
      <c r="E1">
        <v>2016</v>
      </c>
      <c r="F1">
        <v>2020</v>
      </c>
      <c r="G1">
        <v>1.1399999999999999</v>
      </c>
    </row>
    <row r="2" spans="1:11" x14ac:dyDescent="0.3">
      <c r="A2">
        <v>2431</v>
      </c>
      <c r="B2">
        <f>A2*(1+J$20)</f>
        <v>1857.499878019029</v>
      </c>
      <c r="C2">
        <v>26000</v>
      </c>
      <c r="D2">
        <f t="shared" ref="D2:D11" si="0">A2*C2</f>
        <v>63206000</v>
      </c>
      <c r="E2">
        <f>B2*C2</f>
        <v>48294996.82849475</v>
      </c>
      <c r="F2">
        <f>E2*G$1</f>
        <v>55056296.384484008</v>
      </c>
      <c r="H2">
        <f>F2+F3+F4</f>
        <v>118990448.87045617</v>
      </c>
    </row>
    <row r="3" spans="1:11" x14ac:dyDescent="0.3">
      <c r="A3">
        <v>2536</v>
      </c>
      <c r="B3">
        <f t="shared" ref="B3:B11" si="1">A3*(1+J$20)</f>
        <v>1937.7292022444497</v>
      </c>
      <c r="C3">
        <v>26000</v>
      </c>
      <c r="D3">
        <f t="shared" si="0"/>
        <v>65936000</v>
      </c>
      <c r="E3">
        <f t="shared" ref="E3:E11" si="2">B3*C3</f>
        <v>50380959.258355692</v>
      </c>
      <c r="F3">
        <f t="shared" ref="F3:F11" si="3">E3*G$1</f>
        <v>57434293.554525487</v>
      </c>
    </row>
    <row r="4" spans="1:11" x14ac:dyDescent="0.3">
      <c r="A4">
        <v>2870</v>
      </c>
      <c r="B4">
        <f t="shared" si="1"/>
        <v>2192.9348621615027</v>
      </c>
      <c r="C4">
        <v>2600</v>
      </c>
      <c r="D4">
        <f t="shared" si="0"/>
        <v>7462000</v>
      </c>
      <c r="E4">
        <f t="shared" si="2"/>
        <v>5701630.6416199068</v>
      </c>
      <c r="F4">
        <f t="shared" si="3"/>
        <v>6499858.9314466929</v>
      </c>
      <c r="H4">
        <v>164489461.39058304</v>
      </c>
      <c r="J4">
        <f>SUM(F2:F4)</f>
        <v>118990448.87045617</v>
      </c>
    </row>
    <row r="5" spans="1:11" x14ac:dyDescent="0.3">
      <c r="A5">
        <v>2738</v>
      </c>
      <c r="B5">
        <f t="shared" si="1"/>
        <v>2092.0751402781166</v>
      </c>
      <c r="C5">
        <v>26000</v>
      </c>
      <c r="D5">
        <f t="shared" si="0"/>
        <v>71188000</v>
      </c>
      <c r="E5">
        <f t="shared" si="2"/>
        <v>54393953.647231027</v>
      </c>
      <c r="F5">
        <f t="shared" si="3"/>
        <v>62009107.157843366</v>
      </c>
      <c r="J5">
        <f>J4/F12</f>
        <v>0.18433147387994245</v>
      </c>
      <c r="K5" t="s">
        <v>25</v>
      </c>
    </row>
    <row r="6" spans="1:11" x14ac:dyDescent="0.3">
      <c r="A6">
        <v>2840</v>
      </c>
      <c r="B6">
        <f t="shared" si="1"/>
        <v>2170.0121980970966</v>
      </c>
      <c r="C6">
        <v>26000</v>
      </c>
      <c r="D6">
        <f t="shared" si="0"/>
        <v>73840000</v>
      </c>
      <c r="E6">
        <f t="shared" si="2"/>
        <v>56420317.150524512</v>
      </c>
      <c r="F6">
        <f t="shared" si="3"/>
        <v>64319161.551597938</v>
      </c>
      <c r="H6">
        <f>0.029*H4</f>
        <v>4770194.3803269081</v>
      </c>
    </row>
    <row r="7" spans="1:11" x14ac:dyDescent="0.3">
      <c r="A7">
        <v>3509</v>
      </c>
      <c r="B7">
        <f t="shared" si="1"/>
        <v>2681.1876067333492</v>
      </c>
      <c r="C7">
        <v>26000</v>
      </c>
      <c r="D7">
        <f t="shared" si="0"/>
        <v>91234000</v>
      </c>
      <c r="E7">
        <f t="shared" si="2"/>
        <v>69710877.775067076</v>
      </c>
      <c r="F7">
        <f t="shared" si="3"/>
        <v>79470400.663576454</v>
      </c>
    </row>
    <row r="8" spans="1:11" x14ac:dyDescent="0.3">
      <c r="A8">
        <v>3063</v>
      </c>
      <c r="B8">
        <f t="shared" si="1"/>
        <v>2340.4040009758478</v>
      </c>
      <c r="C8">
        <v>26000</v>
      </c>
      <c r="D8">
        <f t="shared" si="0"/>
        <v>79638000</v>
      </c>
      <c r="E8">
        <f t="shared" si="2"/>
        <v>60850504.025372043</v>
      </c>
      <c r="F8">
        <f t="shared" si="3"/>
        <v>69369574.588924125</v>
      </c>
    </row>
    <row r="9" spans="1:11" x14ac:dyDescent="0.3">
      <c r="A9">
        <v>3418</v>
      </c>
      <c r="B9">
        <f t="shared" si="1"/>
        <v>2611.6555257379846</v>
      </c>
      <c r="C9">
        <v>26000</v>
      </c>
      <c r="D9">
        <f t="shared" si="0"/>
        <v>88868000</v>
      </c>
      <c r="E9">
        <f t="shared" si="2"/>
        <v>67903043.669187605</v>
      </c>
      <c r="F9">
        <f t="shared" si="3"/>
        <v>77409469.782873869</v>
      </c>
    </row>
    <row r="10" spans="1:11" x14ac:dyDescent="0.3">
      <c r="A10">
        <v>3639</v>
      </c>
      <c r="B10">
        <f t="shared" si="1"/>
        <v>2780.5191510124419</v>
      </c>
      <c r="C10">
        <v>26000</v>
      </c>
      <c r="D10">
        <f t="shared" si="0"/>
        <v>94614000</v>
      </c>
      <c r="E10">
        <f t="shared" si="2"/>
        <v>72293497.926323488</v>
      </c>
      <c r="F10">
        <f t="shared" si="3"/>
        <v>82414587.636008769</v>
      </c>
    </row>
    <row r="11" spans="1:11" x14ac:dyDescent="0.3">
      <c r="A11">
        <v>4042</v>
      </c>
      <c r="B11">
        <f t="shared" si="1"/>
        <v>3088.4469382776283</v>
      </c>
      <c r="C11">
        <v>26000</v>
      </c>
      <c r="D11">
        <f t="shared" si="0"/>
        <v>105092000</v>
      </c>
      <c r="E11">
        <f t="shared" si="2"/>
        <v>80299620.395218343</v>
      </c>
      <c r="F11">
        <f t="shared" si="3"/>
        <v>91541567.250548899</v>
      </c>
    </row>
    <row r="12" spans="1:11" x14ac:dyDescent="0.3">
      <c r="C12">
        <f>SUM(C2:C11)</f>
        <v>236600</v>
      </c>
      <c r="D12">
        <f>SUM(D2:D11)</f>
        <v>741078000</v>
      </c>
      <c r="E12">
        <f>SUM(E2:E11)</f>
        <v>566249401.31739438</v>
      </c>
      <c r="F12">
        <f>SUM(F2:F11)</f>
        <v>645524317.50182962</v>
      </c>
    </row>
    <row r="14" spans="1:11" x14ac:dyDescent="0.3">
      <c r="B14">
        <v>2012</v>
      </c>
      <c r="C14">
        <v>2016</v>
      </c>
      <c r="F14">
        <v>2012</v>
      </c>
      <c r="H14">
        <v>2016</v>
      </c>
    </row>
    <row r="15" spans="1:11" x14ac:dyDescent="0.3">
      <c r="A15" t="s">
        <v>18</v>
      </c>
      <c r="B15">
        <v>3.84</v>
      </c>
      <c r="C15">
        <v>2.2999999999999998</v>
      </c>
      <c r="D15">
        <v>0.3</v>
      </c>
      <c r="F15">
        <f>B15*D15</f>
        <v>1.1519999999999999</v>
      </c>
      <c r="H15">
        <f>C15*D15</f>
        <v>0.69</v>
      </c>
    </row>
    <row r="16" spans="1:11" x14ac:dyDescent="0.3">
      <c r="A16" t="s">
        <v>19</v>
      </c>
      <c r="B16">
        <v>4.24</v>
      </c>
      <c r="C16">
        <v>3</v>
      </c>
      <c r="D16">
        <v>0.1</v>
      </c>
      <c r="E16">
        <f>35/45</f>
        <v>0.77777777777777779</v>
      </c>
      <c r="F16">
        <f>B16*D16</f>
        <v>0.42400000000000004</v>
      </c>
      <c r="G16">
        <f>(F15+F16+F17+F18)*E16</f>
        <v>2.468666666666667</v>
      </c>
      <c r="H16">
        <f>C16*D16</f>
        <v>0.30000000000000004</v>
      </c>
      <c r="I16">
        <f>(H15+H16+H17+H18)*E16</f>
        <v>1.7982222222222222</v>
      </c>
    </row>
    <row r="17" spans="1:10" x14ac:dyDescent="0.3">
      <c r="A17" t="s">
        <v>20</v>
      </c>
      <c r="B17">
        <v>3.26</v>
      </c>
      <c r="C17">
        <v>2.9</v>
      </c>
      <c r="D17">
        <v>0.2</v>
      </c>
      <c r="F17">
        <f>B17*D17</f>
        <v>0.65200000000000002</v>
      </c>
      <c r="H17">
        <f>C17*D17</f>
        <v>0.57999999999999996</v>
      </c>
    </row>
    <row r="18" spans="1:10" x14ac:dyDescent="0.3">
      <c r="A18" t="s">
        <v>22</v>
      </c>
      <c r="B18">
        <v>4.7300000000000004</v>
      </c>
      <c r="C18">
        <v>3.71</v>
      </c>
      <c r="D18">
        <v>0.2</v>
      </c>
      <c r="F18">
        <f>B18*D18</f>
        <v>0.94600000000000017</v>
      </c>
      <c r="H18">
        <f>C18*D18</f>
        <v>0.74199999999999999</v>
      </c>
    </row>
    <row r="19" spans="1:10" x14ac:dyDescent="0.3">
      <c r="A19" t="s">
        <v>23</v>
      </c>
      <c r="B19">
        <v>11.88</v>
      </c>
      <c r="C19">
        <v>13.04</v>
      </c>
      <c r="D19">
        <v>0.1</v>
      </c>
      <c r="E19">
        <f>10/45</f>
        <v>0.22222222222222221</v>
      </c>
      <c r="F19">
        <f>B19*D19</f>
        <v>1.1880000000000002</v>
      </c>
      <c r="G19">
        <f>E19*F19</f>
        <v>0.26400000000000001</v>
      </c>
      <c r="H19">
        <f>C19*D19</f>
        <v>1.304</v>
      </c>
      <c r="I19">
        <f>E19*H19</f>
        <v>0.28977777777777775</v>
      </c>
    </row>
    <row r="20" spans="1:10" x14ac:dyDescent="0.3">
      <c r="G20">
        <f>G16+G19</f>
        <v>2.7326666666666668</v>
      </c>
      <c r="I20">
        <f>I16+I19</f>
        <v>2.0880000000000001</v>
      </c>
      <c r="J20">
        <f>(I20-G20)/G20</f>
        <v>-0.23591119785313491</v>
      </c>
    </row>
    <row r="21" spans="1:10" x14ac:dyDescent="0.3">
      <c r="C21" s="57" t="s">
        <v>21</v>
      </c>
    </row>
    <row r="22" spans="1:10" x14ac:dyDescent="0.3">
      <c r="C22" s="57" t="s">
        <v>24</v>
      </c>
    </row>
    <row r="23" spans="1:10" x14ac:dyDescent="0.3">
      <c r="B23" t="s">
        <v>103</v>
      </c>
      <c r="C23" t="s">
        <v>105</v>
      </c>
      <c r="D23" t="s">
        <v>102</v>
      </c>
    </row>
    <row r="24" spans="1:10" x14ac:dyDescent="0.3">
      <c r="A24" t="s">
        <v>99</v>
      </c>
      <c r="B24" s="33">
        <v>368720000</v>
      </c>
      <c r="C24">
        <f>B24/B29</f>
        <v>0.16033256222496653</v>
      </c>
      <c r="D24">
        <v>-0.39</v>
      </c>
      <c r="E24" t="s">
        <v>100</v>
      </c>
    </row>
    <row r="25" spans="1:10" x14ac:dyDescent="0.3">
      <c r="A25" t="s">
        <v>22</v>
      </c>
      <c r="B25" s="33">
        <v>116000000</v>
      </c>
      <c r="C25">
        <f>B25/B29</f>
        <v>5.0440923242829561E-2</v>
      </c>
      <c r="D25">
        <v>-0.28000000000000003</v>
      </c>
      <c r="E25" t="s">
        <v>101</v>
      </c>
    </row>
    <row r="26" spans="1:10" x14ac:dyDescent="0.3">
      <c r="A26" t="s">
        <v>18</v>
      </c>
      <c r="B26" s="141">
        <v>1815000000</v>
      </c>
      <c r="D26">
        <v>-0.2</v>
      </c>
      <c r="E26" t="s">
        <v>101</v>
      </c>
    </row>
    <row r="27" spans="1:10" x14ac:dyDescent="0.3">
      <c r="A27" t="s">
        <v>19</v>
      </c>
      <c r="B27" s="142"/>
      <c r="C27">
        <f>B26/B29</f>
        <v>0.78922651453220394</v>
      </c>
      <c r="D27">
        <v>-0.2</v>
      </c>
      <c r="E27" t="s">
        <v>101</v>
      </c>
    </row>
    <row r="28" spans="1:10" x14ac:dyDescent="0.3">
      <c r="A28" t="s">
        <v>20</v>
      </c>
      <c r="B28" s="142"/>
      <c r="D28">
        <v>-0.2</v>
      </c>
      <c r="E28" t="s">
        <v>101</v>
      </c>
    </row>
    <row r="29" spans="1:10" x14ac:dyDescent="0.3">
      <c r="B29" s="33">
        <f>SUM(B24:B28)</f>
        <v>2299720000</v>
      </c>
      <c r="E29" t="s">
        <v>104</v>
      </c>
    </row>
    <row r="30" spans="1:10" x14ac:dyDescent="0.3">
      <c r="E30" t="s">
        <v>106</v>
      </c>
    </row>
    <row r="32" spans="1:10" x14ac:dyDescent="0.3">
      <c r="D32">
        <f>(C24*D24)+(C25*D25)+(C27*D27)</f>
        <v>-0.23449846068217003</v>
      </c>
    </row>
  </sheetData>
  <mergeCells count="1">
    <mergeCell ref="B26:B28"/>
  </mergeCells>
  <hyperlinks>
    <hyperlink ref="C21" r:id="rId1" xr:uid="{BBDF3FF0-AC27-43F3-84F6-34A9A0193759}"/>
    <hyperlink ref="C22" r:id="rId2" xr:uid="{9BCF7D95-56FB-4923-8DEF-29E3F4FD3BD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DD3B-3746-430F-9D7A-62F32B305620}">
  <dimension ref="A1:H31"/>
  <sheetViews>
    <sheetView topLeftCell="A13" workbookViewId="0">
      <selection activeCell="B26" sqref="B26"/>
    </sheetView>
  </sheetViews>
  <sheetFormatPr defaultRowHeight="14.4" x14ac:dyDescent="0.3"/>
  <cols>
    <col min="1" max="1" width="28.21875" customWidth="1"/>
    <col min="2" max="2" width="13.44140625" bestFit="1" customWidth="1"/>
    <col min="3" max="3" width="14.5546875" bestFit="1" customWidth="1"/>
    <col min="4" max="4" width="17.6640625" customWidth="1"/>
    <col min="5" max="5" width="18.5546875" bestFit="1" customWidth="1"/>
    <col min="6" max="6" width="14.77734375" customWidth="1"/>
  </cols>
  <sheetData>
    <row r="1" spans="1:8" ht="15" thickBot="1" x14ac:dyDescent="0.35"/>
    <row r="2" spans="1:8" x14ac:dyDescent="0.3">
      <c r="A2" s="15" t="s">
        <v>17</v>
      </c>
      <c r="B2" s="16"/>
      <c r="C2" s="16"/>
      <c r="D2" s="16"/>
      <c r="E2" s="17"/>
    </row>
    <row r="3" spans="1:8" x14ac:dyDescent="0.3">
      <c r="A3" s="18"/>
      <c r="B3" s="21" t="s">
        <v>6</v>
      </c>
      <c r="C3" s="39" t="s">
        <v>7</v>
      </c>
      <c r="D3" s="39" t="s">
        <v>39</v>
      </c>
      <c r="E3" s="27" t="s">
        <v>26</v>
      </c>
    </row>
    <row r="4" spans="1:8" x14ac:dyDescent="0.3">
      <c r="A4" s="42" t="s">
        <v>0</v>
      </c>
      <c r="B4" s="29">
        <v>0.06</v>
      </c>
      <c r="C4" s="30">
        <v>142286414</v>
      </c>
      <c r="D4" s="55">
        <v>147940742</v>
      </c>
      <c r="E4" s="43">
        <f>D4/B4</f>
        <v>2465679033.3333335</v>
      </c>
    </row>
    <row r="5" spans="1:8" x14ac:dyDescent="0.3">
      <c r="A5" s="42" t="s">
        <v>1</v>
      </c>
      <c r="B5" s="29">
        <v>0.06</v>
      </c>
      <c r="C5" s="30">
        <v>15039003</v>
      </c>
      <c r="D5" s="55">
        <v>14737022</v>
      </c>
      <c r="E5" s="43">
        <f>D5/B5</f>
        <v>245617033.33333334</v>
      </c>
    </row>
    <row r="6" spans="1:8" x14ac:dyDescent="0.3">
      <c r="A6" s="42" t="s">
        <v>2</v>
      </c>
      <c r="B6" s="31">
        <v>3.6299999999999999E-2</v>
      </c>
      <c r="C6" s="30">
        <v>4793713</v>
      </c>
      <c r="D6" s="55">
        <v>4799638</v>
      </c>
      <c r="E6" s="43">
        <f>D6/B6</f>
        <v>132221432.50688706</v>
      </c>
    </row>
    <row r="7" spans="1:8" x14ac:dyDescent="0.3">
      <c r="A7" s="42" t="s">
        <v>3</v>
      </c>
      <c r="B7" s="31">
        <v>5.8999999999999997E-2</v>
      </c>
      <c r="C7" s="30">
        <v>73708</v>
      </c>
      <c r="D7" s="55">
        <v>79455</v>
      </c>
      <c r="E7" s="43">
        <f>D7/B7</f>
        <v>1346694.9152542374</v>
      </c>
    </row>
    <row r="8" spans="1:8" x14ac:dyDescent="0.3">
      <c r="A8" s="42" t="s">
        <v>4</v>
      </c>
      <c r="B8" s="32" t="s">
        <v>12</v>
      </c>
      <c r="C8" s="30">
        <v>780000</v>
      </c>
      <c r="D8" s="55">
        <v>800000</v>
      </c>
      <c r="E8" s="43">
        <f>(D8*10)*66</f>
        <v>528000000</v>
      </c>
    </row>
    <row r="9" spans="1:8" ht="15" thickBot="1" x14ac:dyDescent="0.35">
      <c r="A9" s="44" t="s">
        <v>5</v>
      </c>
      <c r="B9" s="40">
        <v>3.3000000000000002E-2</v>
      </c>
      <c r="C9" s="41">
        <v>1200000</v>
      </c>
      <c r="D9" s="56">
        <v>935000</v>
      </c>
      <c r="E9" s="45">
        <f>D9/B9</f>
        <v>28333333.333333332</v>
      </c>
    </row>
    <row r="10" spans="1:8" ht="15" thickBot="1" x14ac:dyDescent="0.35">
      <c r="A10" s="19" t="s">
        <v>16</v>
      </c>
      <c r="B10" s="28"/>
      <c r="C10" s="50">
        <f>SUM(C4:C9)</f>
        <v>164172838</v>
      </c>
      <c r="D10" s="50">
        <f>SUM(D4:D9)</f>
        <v>169291857</v>
      </c>
      <c r="E10" s="8">
        <f>SUM(E4:E9)</f>
        <v>3401197527.4221416</v>
      </c>
      <c r="H10">
        <f>D10/E10</f>
        <v>4.9774191482583732E-2</v>
      </c>
    </row>
    <row r="12" spans="1:8" x14ac:dyDescent="0.3">
      <c r="A12" t="s">
        <v>27</v>
      </c>
    </row>
    <row r="16" spans="1:8" x14ac:dyDescent="0.3">
      <c r="A16" t="s">
        <v>10</v>
      </c>
    </row>
    <row r="17" spans="1:8" x14ac:dyDescent="0.3">
      <c r="A17" t="s">
        <v>11</v>
      </c>
      <c r="E17">
        <v>6437000000</v>
      </c>
    </row>
    <row r="19" spans="1:8" x14ac:dyDescent="0.3">
      <c r="A19" t="s">
        <v>8</v>
      </c>
      <c r="B19" t="s">
        <v>13</v>
      </c>
      <c r="E19" s="2">
        <f>E17-E10</f>
        <v>3035802472.5778584</v>
      </c>
    </row>
    <row r="20" spans="1:8" x14ac:dyDescent="0.3">
      <c r="A20" t="s">
        <v>9</v>
      </c>
    </row>
    <row r="24" spans="1:8" x14ac:dyDescent="0.3">
      <c r="C24" s="37">
        <f>C8*10*66</f>
        <v>514800000</v>
      </c>
      <c r="D24" s="37"/>
    </row>
    <row r="26" spans="1:8" x14ac:dyDescent="0.3">
      <c r="A26" t="s">
        <v>45</v>
      </c>
      <c r="B26">
        <v>623989</v>
      </c>
      <c r="D26">
        <v>100</v>
      </c>
      <c r="E26">
        <v>200</v>
      </c>
      <c r="F26">
        <v>250</v>
      </c>
      <c r="G26">
        <v>300</v>
      </c>
      <c r="H26" t="s">
        <v>48</v>
      </c>
    </row>
    <row r="27" spans="1:8" x14ac:dyDescent="0.3">
      <c r="A27" t="s">
        <v>46</v>
      </c>
      <c r="B27" s="2">
        <v>6437000000</v>
      </c>
      <c r="D27" s="77">
        <v>0.10199999999999999</v>
      </c>
      <c r="E27" s="77">
        <v>0.154</v>
      </c>
      <c r="F27" s="77">
        <v>0.14599999999999999</v>
      </c>
      <c r="G27">
        <v>14.6</v>
      </c>
      <c r="H27">
        <v>45.3</v>
      </c>
    </row>
    <row r="28" spans="1:8" x14ac:dyDescent="0.3">
      <c r="A28" t="s">
        <v>47</v>
      </c>
      <c r="B28" s="36">
        <f>B27/B26</f>
        <v>10315.886978776869</v>
      </c>
      <c r="D28" s="33">
        <v>920</v>
      </c>
      <c r="E28" s="33">
        <v>2490</v>
      </c>
      <c r="F28" s="33">
        <v>3200</v>
      </c>
      <c r="G28" s="33">
        <v>3200</v>
      </c>
    </row>
    <row r="30" spans="1:8" x14ac:dyDescent="0.3">
      <c r="D30" s="33">
        <f>$B26*D27*D28</f>
        <v>58555127.759999998</v>
      </c>
      <c r="E30" s="33">
        <f>$B26*E27*E28</f>
        <v>239274821.94</v>
      </c>
      <c r="F30" s="33">
        <f>$B26*F27*F28</f>
        <v>291527660.80000001</v>
      </c>
    </row>
    <row r="31" spans="1:8" x14ac:dyDescent="0.3">
      <c r="D31">
        <f>(D30+E30+F30)/B27</f>
        <v>9.1557808062762161E-2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calculator</vt:lpstr>
      <vt:lpstr>Home energy data</vt:lpstr>
      <vt:lpstr>Health care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Kleppner</dc:creator>
  <cp:lastModifiedBy>Bram Kleppner</cp:lastModifiedBy>
  <dcterms:created xsi:type="dcterms:W3CDTF">2020-10-08T10:57:45Z</dcterms:created>
  <dcterms:modified xsi:type="dcterms:W3CDTF">2020-12-13T14:24:52Z</dcterms:modified>
</cp:coreProperties>
</file>