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JFOSHARE\Tax Structure Commission\Meeting Documents\01-04-2021\"/>
    </mc:Choice>
  </mc:AlternateContent>
  <xr:revisionPtr revIDLastSave="0" documentId="13_ncr:1_{D4346BFD-E0BE-433D-818E-4375153E5E14}" xr6:coauthVersionLast="44" xr6:coauthVersionMax="44" xr10:uidLastSave="{00000000-0000-0000-0000-000000000000}"/>
  <workbookProtection workbookAlgorithmName="SHA-512" workbookHashValue="eK+r9W4CX0m0n7bms5l9+1xqrOLD8tzCWyvX/cbJoiQaeIDd+rznW/VBquv8XN/Gnv1Fi80z8jcW2ezsDo58dA==" workbookSaltValue="cfMh93xwMU6nM7hOk5M/yQ==" workbookSpinCount="100000" lockStructure="1"/>
  <bookViews>
    <workbookView xWindow="-120" yWindow="-120" windowWidth="25440" windowHeight="15390" tabRatio="613" xr2:uid="{CB44566F-55D4-4CCE-AE4B-5BA7EE2BF5F5}"/>
  </bookViews>
  <sheets>
    <sheet name="Rate calculator" sheetId="7" r:id="rId1"/>
    <sheet name="LIV Health Care % Calculation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0" l="1"/>
  <c r="F35" i="7"/>
  <c r="H35" i="7"/>
  <c r="F36" i="7"/>
  <c r="H36" i="7"/>
  <c r="F37" i="7"/>
  <c r="H37" i="7"/>
  <c r="F38" i="7"/>
  <c r="H38" i="7"/>
  <c r="C10" i="10"/>
  <c r="E33" i="10"/>
  <c r="F33" i="10"/>
  <c r="F34" i="10" s="1"/>
  <c r="D33" i="10"/>
  <c r="F31" i="10"/>
  <c r="E31" i="10"/>
  <c r="D31" i="10"/>
  <c r="C7" i="10"/>
  <c r="E34" i="10" l="1"/>
  <c r="C11" i="10"/>
  <c r="E30" i="10"/>
  <c r="F30" i="10"/>
  <c r="D34" i="10"/>
  <c r="F27" i="7"/>
  <c r="F28" i="7"/>
  <c r="F29" i="7"/>
  <c r="F30" i="7"/>
  <c r="F31" i="7"/>
  <c r="F32" i="7"/>
  <c r="F33" i="7"/>
  <c r="F34" i="7"/>
  <c r="F26" i="7"/>
  <c r="F19" i="7"/>
  <c r="F20" i="7"/>
  <c r="F21" i="7"/>
  <c r="F22" i="7"/>
  <c r="F23" i="7"/>
  <c r="F18" i="7"/>
  <c r="F55" i="7"/>
  <c r="F43" i="7"/>
  <c r="F36" i="10" l="1"/>
  <c r="F38" i="10" s="1"/>
  <c r="G15" i="7"/>
  <c r="F68" i="7" s="1"/>
  <c r="F69" i="7" s="1"/>
  <c r="E68" i="7" l="1"/>
  <c r="E69" i="7" s="1"/>
  <c r="I15" i="7"/>
  <c r="E70" i="7" l="1"/>
  <c r="E39" i="7"/>
  <c r="F39" i="7" l="1"/>
  <c r="F70" i="7" s="1"/>
  <c r="E62" i="7"/>
  <c r="G30" i="7" s="1"/>
  <c r="H30" i="7" s="1"/>
  <c r="F62" i="7"/>
  <c r="F74" i="7"/>
  <c r="G74" i="7"/>
  <c r="H74" i="7"/>
  <c r="F71" i="7"/>
  <c r="F59" i="7"/>
  <c r="F56" i="7"/>
  <c r="F57" i="7"/>
  <c r="F58" i="7"/>
  <c r="F52" i="7"/>
  <c r="F44" i="7"/>
  <c r="F45" i="7"/>
  <c r="F46" i="7"/>
  <c r="F47" i="7"/>
  <c r="F48" i="7"/>
  <c r="F49" i="7"/>
  <c r="F50" i="7"/>
  <c r="F51" i="7"/>
  <c r="E71" i="7"/>
  <c r="E72" i="7" s="1"/>
  <c r="E73" i="7" s="1"/>
  <c r="E75" i="7" s="1"/>
  <c r="D15" i="7"/>
  <c r="E64" i="7" s="1"/>
  <c r="G33" i="7" l="1"/>
  <c r="H33" i="7" s="1"/>
  <c r="G26" i="7"/>
  <c r="H26" i="7" s="1"/>
  <c r="G29" i="7"/>
  <c r="H29" i="7" s="1"/>
  <c r="G39" i="7"/>
  <c r="H39" i="7" s="1"/>
  <c r="G28" i="7"/>
  <c r="H28" i="7" s="1"/>
  <c r="G34" i="7"/>
  <c r="H34" i="7" s="1"/>
  <c r="G27" i="7"/>
  <c r="H27" i="7" s="1"/>
  <c r="G32" i="7"/>
  <c r="H32" i="7" s="1"/>
  <c r="G31" i="7"/>
  <c r="H31" i="7" s="1"/>
  <c r="F64" i="7"/>
  <c r="F15" i="7" s="1"/>
  <c r="F63" i="7"/>
  <c r="E63" i="7"/>
  <c r="F72" i="7"/>
  <c r="F73" i="7" s="1"/>
  <c r="F75" i="7" s="1"/>
  <c r="G44" i="7"/>
  <c r="H44" i="7" s="1"/>
  <c r="G20" i="7" l="1"/>
  <c r="H20" i="7" s="1"/>
  <c r="G22" i="7"/>
  <c r="H22" i="7" s="1"/>
  <c r="G21" i="7"/>
  <c r="H21" i="7" s="1"/>
  <c r="G18" i="7"/>
  <c r="H18" i="7" s="1"/>
  <c r="G19" i="7"/>
  <c r="H19" i="7" s="1"/>
  <c r="G23" i="7"/>
  <c r="H23" i="7" s="1"/>
  <c r="G56" i="7"/>
  <c r="H56" i="7" s="1"/>
  <c r="G49" i="7"/>
  <c r="H49" i="7" s="1"/>
  <c r="G57" i="7"/>
  <c r="H57" i="7" s="1"/>
  <c r="G45" i="7"/>
  <c r="H45" i="7" s="1"/>
  <c r="G47" i="7"/>
  <c r="H47" i="7" s="1"/>
  <c r="G51" i="7"/>
  <c r="H51" i="7" s="1"/>
  <c r="G52" i="7"/>
  <c r="H52" i="7" s="1"/>
  <c r="G43" i="7"/>
  <c r="G50" i="7"/>
  <c r="H50" i="7" s="1"/>
  <c r="G46" i="7"/>
  <c r="H46" i="7" s="1"/>
  <c r="G48" i="7"/>
  <c r="H48" i="7" s="1"/>
  <c r="G58" i="7"/>
  <c r="H58" i="7" s="1"/>
  <c r="G55" i="7"/>
  <c r="H55" i="7" s="1"/>
  <c r="G59" i="7"/>
  <c r="H59" i="7" s="1"/>
  <c r="G71" i="7" l="1"/>
  <c r="H71" i="7"/>
  <c r="G68" i="7"/>
  <c r="G69" i="7" s="1"/>
  <c r="G70" i="7" s="1"/>
  <c r="G62" i="7"/>
  <c r="G64" i="7"/>
  <c r="G72" i="7"/>
  <c r="G63" i="7"/>
  <c r="H43" i="7"/>
  <c r="G73" i="7" l="1"/>
  <c r="G75" i="7" s="1"/>
  <c r="H68" i="7"/>
  <c r="H69" i="7" s="1"/>
  <c r="H70" i="7" s="1"/>
  <c r="H62" i="7"/>
  <c r="H64" i="7"/>
  <c r="H63" i="7"/>
  <c r="H72" i="7"/>
  <c r="H73" i="7" l="1"/>
  <c r="H75" i="7" s="1"/>
</calcChain>
</file>

<file path=xl/sharedStrings.xml><?xml version="1.0" encoding="utf-8"?>
<sst xmlns="http://schemas.openxmlformats.org/spreadsheetml/2006/main" count="295" uniqueCount="192">
  <si>
    <t>Instructions</t>
  </si>
  <si>
    <t>Notes</t>
  </si>
  <si>
    <t>Proposed new rate</t>
  </si>
  <si>
    <t>Incremental revenue beyond current revenue</t>
  </si>
  <si>
    <t>Protection for low-income Vermonters?</t>
  </si>
  <si>
    <t>No</t>
  </si>
  <si>
    <t>Yes</t>
  </si>
  <si>
    <t>Total, holding low-income VTers  harmless</t>
  </si>
  <si>
    <t xml:space="preserve">Baseline </t>
  </si>
  <si>
    <t>Note 16</t>
  </si>
  <si>
    <t>2019 est. provider tax rev</t>
  </si>
  <si>
    <t>Percent spent by lowest 40% of Vters</t>
  </si>
  <si>
    <t>VT 2019 Population</t>
  </si>
  <si>
    <t>VT 2019 Health care spend</t>
  </si>
  <si>
    <t>1. Current sales tax base and sales tax revenue from VT Dept of Taxes, "06302020SUTStatsFiscalReport75Day"</t>
  </si>
  <si>
    <t>Notes 1 &amp; 2</t>
  </si>
  <si>
    <t>2020 sales tax revenue</t>
  </si>
  <si>
    <t>2020 sales tax base</t>
  </si>
  <si>
    <t>Note 4</t>
  </si>
  <si>
    <t>Note 7</t>
  </si>
  <si>
    <t>Related to personal property besides cars (Notes 8 &amp; 13)</t>
  </si>
  <si>
    <t>Bureau of Labor Statistics (https://www.bls.gov/cex/2018/aggregate/decile.pdf);</t>
  </si>
  <si>
    <t>(https://www.kff.org/other/state-indicator/distribution-by-fpl/?currentTimeframe=0&amp;sortModel=%7B%22colId%22:%22Location%22,%22sort%22:%22asc%22%7D)</t>
  </si>
  <si>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>Table 1110. Deciles of income before taxes: Shares of annual aggregate expenditures and sources of income, Consumer Expenditure Survey, 2018,</t>
    </r>
  </si>
  <si>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"Distribution of Total Population By Federal Poverty Level," Kaiser Family Foundation, </t>
    </r>
  </si>
  <si>
    <r>
      <rPr>
        <sz val="11"/>
        <color theme="1"/>
        <rFont val="Calibri"/>
        <family val="2"/>
      </rPr>
      <t>•"</t>
    </r>
    <r>
      <rPr>
        <sz val="11"/>
        <color theme="1"/>
        <rFont val="Calibri"/>
        <family val="2"/>
        <scheme val="minor"/>
      </rPr>
      <t>The Economic Incidence of Health Care Spending in Vermont," RAND, 2015 (https://www.rand.org/content/dam/rand/pubs/research_reports/RR900/RR901/RAND_RR901.pdf).</t>
    </r>
  </si>
  <si>
    <t>Table 1110. Deciles of income before taxes: Shares of annual aggregate expenditures and sources of income, Consumer Expenditure Survey, 2018, Bureau of Labor Statistics (https://www.bls.gov/cex/2018/aggregate/decile.pdf)</t>
  </si>
  <si>
    <t>Note 19</t>
  </si>
  <si>
    <t>Note 21</t>
  </si>
  <si>
    <t>Note 22</t>
  </si>
  <si>
    <t>Sales Tax Rate Calculator with Different Categories Included In the Base</t>
  </si>
  <si>
    <t xml:space="preserve">New total sales w/ elasticity </t>
  </si>
  <si>
    <t>Proposed new sales tax base w/ no elasticity and no protection for low-income Vters</t>
  </si>
  <si>
    <t>New rate w/ no elasticity and no protection for low-income Vters</t>
  </si>
  <si>
    <t>New rate w/ no elasticity, with protection for low-income Vters</t>
  </si>
  <si>
    <t>New rate w/ elasticity and no protection for low-income Vters</t>
  </si>
  <si>
    <t>New rate w/ elasticity, with protection for low-income Vters</t>
  </si>
  <si>
    <t>Proposed new sales tax base w/ no elasticity, with protection for low-income Vters</t>
  </si>
  <si>
    <t>Set tax rate: change only the yellow cell, after selecting categories above.</t>
  </si>
  <si>
    <t>No price elasticity of demand</t>
  </si>
  <si>
    <t>With price elasticity of demand</t>
  </si>
  <si>
    <t>3.Total 2020 health care spend from the Green Mountain Care Board's 2018 Vermont Health Care Expenditure Analysis, assuming 3% growth in 2019 and 2020.</t>
  </si>
  <si>
    <t>Category I: Health care categories currently subject to provider tax</t>
  </si>
  <si>
    <t>Lab and x-ray services</t>
  </si>
  <si>
    <t>Services of managed care organizations</t>
  </si>
  <si>
    <t>Category II: Health care categories not currently subject to provider tax</t>
  </si>
  <si>
    <t>Ambulatory surgical/service centers</t>
  </si>
  <si>
    <t>Other health care items/services  w/ state licensing/certifying</t>
  </si>
  <si>
    <t>Category III: Services not currently subject to sales tax</t>
  </si>
  <si>
    <t>Category IV: Goods not currently subject to sales tax</t>
  </si>
  <si>
    <t>2. For "Category II: Health care categories not currently subject to provider tax", put a lowercase "x" in the blue box for each category you'd like to include in the provider tax.</t>
  </si>
  <si>
    <t>4. To remove an "x", hit the delete key</t>
  </si>
  <si>
    <t>Hospitals: go fr. current 6% rate to new harmonized provider tax/sales tax rate</t>
  </si>
  <si>
    <t>Nursing homes: go fr. current 6% rate to new harmonized provider tax/sales tax rate</t>
  </si>
  <si>
    <t>Home health: go fr. current 4.25% rate to new harmonized provider tax/sales tax rate</t>
  </si>
  <si>
    <t>Prescription drugs: go fr current  $0.10/prescription to new harmonized provider tax/sales tax rate</t>
  </si>
  <si>
    <t>Intermediate care facilities: go fr. current 5.9% rate to new harmonized provider tax/sales tax rate</t>
  </si>
  <si>
    <t>Emergency ambulance: go fr. current 3.30% rate to new harmonized  provider tax/sales tax rate</t>
  </si>
  <si>
    <t>1. For "Category I: Health care categories currently subject to provider tax", put a lowercase "x" in the box to move that category to the new sales tax rate. Leaving it blank leaves that category taxed at its current provider tax rate.</t>
  </si>
  <si>
    <t>3. For Categories III and IV, put a lowercase "x" in the yellow box for each category you'd like to include in the sales tax</t>
  </si>
  <si>
    <t>Current provider tax base</t>
  </si>
  <si>
    <t>Current provider tax avg rate</t>
  </si>
  <si>
    <t>Current sales tax base</t>
  </si>
  <si>
    <t>Proposed new sales tax base</t>
  </si>
  <si>
    <t>Proposed new provider tax base</t>
  </si>
  <si>
    <t>Sales tax rate needed to raise the same sales tax revenue as 2019, assuming same sales revenue</t>
  </si>
  <si>
    <t>Harmonized sales and provider tax rate needed to raise the same sales &amp; provider tax revenue</t>
  </si>
  <si>
    <t>Provider tax rate for checked categories needed to raise the same provider tax revenue as 2020</t>
  </si>
  <si>
    <t>Current provider tax base staying at current rates</t>
  </si>
  <si>
    <t>Current provider tax base moving to new harmonized rate</t>
  </si>
  <si>
    <t>Proposed new combined sales and provider tax base</t>
  </si>
  <si>
    <t>&lt;138% flp</t>
  </si>
  <si>
    <t>139% - 200%</t>
  </si>
  <si>
    <t>    Total households</t>
  </si>
  <si>
    <t>        Less than $10,000</t>
  </si>
  <si>
    <t>        $10,000 to $14,999</t>
  </si>
  <si>
    <t>        $15,000 to $24,999</t>
  </si>
  <si>
    <t>        $25,000 to $34,999</t>
  </si>
  <si>
    <t>        $35,000 to $49,999</t>
  </si>
  <si>
    <t>        $50,000 to $74,999</t>
  </si>
  <si>
    <t>        $75,000 to $99,999</t>
  </si>
  <si>
    <t>        $100,000 to $149,999</t>
  </si>
  <si>
    <t>        $150,000 to $199,999</t>
  </si>
  <si>
    <t>        $200,000 or more</t>
  </si>
  <si>
    <t>        Median household income (dollars)</t>
  </si>
  <si>
    <t>https://data.census.gov/cedsci/table?g=0400000US50&amp;tid=ACSDP5Y2019.DP03</t>
  </si>
  <si>
    <t>Source</t>
  </si>
  <si>
    <t>Avg VT household = 2.32 persons</t>
  </si>
  <si>
    <t>201%-250%</t>
  </si>
  <si>
    <t># of Vermont households</t>
  </si>
  <si>
    <t>US Census American Community Survey</t>
  </si>
  <si>
    <t>Calculation from population and household numbers above</t>
  </si>
  <si>
    <t>100% federal poverty level, 2 persons</t>
  </si>
  <si>
    <t>100% federal poverty level, 3 persons</t>
  </si>
  <si>
    <t>https://aspe.hhs.gov/poverty-guidelines</t>
  </si>
  <si>
    <t>calculated from above number</t>
  </si>
  <si>
    <t>calculated from above two numbers</t>
  </si>
  <si>
    <t>https://www.census.gov/quickfacts/VT</t>
  </si>
  <si>
    <t>https://gmcboard.vermont.gov/sites/gmcb/files/Misc/2018_VT_Health_Care_Expenditure_Analysis_Final_%20July_%208_%202020.pdf</t>
  </si>
  <si>
    <t>Per capita health care spending (no wage offsets)</t>
  </si>
  <si>
    <t>approximate # of households</t>
  </si>
  <si>
    <t>100% federal poverty level, 2.4 persons</t>
  </si>
  <si>
    <t>250% federal poverty level, 2.4 persons</t>
  </si>
  <si>
    <t>Household income for avg household of 2.4 persons</t>
  </si>
  <si>
    <t>Household spending (household size of 2.4)</t>
  </si>
  <si>
    <t>Calculated from above</t>
  </si>
  <si>
    <t>https://www.rand.org/content/dam/rand/pubs/research_reports/RR900/RR901/RAND_RR901.pdf, p 29: Table 4.3. Average Payments for Health Care Per Capita, by Family Income Level, 2017</t>
  </si>
  <si>
    <t>Calculated from household income numbers in table below</t>
  </si>
  <si>
    <t>Per capita spending x 2.4 persons per household</t>
  </si>
  <si>
    <t>Household spending x number of households</t>
  </si>
  <si>
    <t>Approx. total health care spending by all households in first four income decile</t>
  </si>
  <si>
    <t>Approx. total health care spending by households in income band</t>
  </si>
  <si>
    <t xml:space="preserve">Health care spending in first four income deciles as % of total Vermont health care spending </t>
  </si>
  <si>
    <t>Sum of spending in three income bands</t>
  </si>
  <si>
    <t>Sum of spending in three income bands divided by total Vermont spend</t>
  </si>
  <si>
    <t>5. Tax rate necessary to raise the same amount of sales tax as in 2019, assuming 2019 sales levels, and assuming no protection for low-income Vermonters, appears at the bottom in cell E64.</t>
  </si>
  <si>
    <t>6. Tax rate necessary to raise the same amount of sales tax as in 2019, assuming 2019 sales levels, and assuming full protection for low-income Vermoners, appears at the bottom in cell F64.</t>
  </si>
  <si>
    <t>that combination of categories and rate will raise. E75  assumes low-income Vermonters pay the tax on new categories, F75 assumes they are fully protected from the tax.</t>
  </si>
  <si>
    <t>8. Do not change anything else</t>
  </si>
  <si>
    <t>Existing sales tax base, adjusted for elasticity</t>
  </si>
  <si>
    <t>4. See tab "LIV Health Care % Calculation" for derivation of total health care spending incurred by low-income Vermonters as a percent of total Vermont health care spending.</t>
  </si>
  <si>
    <t>Note 24</t>
  </si>
  <si>
    <t>Note 8</t>
  </si>
  <si>
    <t>Note 9</t>
  </si>
  <si>
    <t>Note 3</t>
  </si>
  <si>
    <t>3. "The Economic Incidence of Health Care Spending in Vermont," RAND, 2015 (https://www.rand.org/content/dam/rand/pubs/research_reports/RR900/RR901/RAND_RR901.pdf), and</t>
  </si>
  <si>
    <t>Source for elasticity</t>
  </si>
  <si>
    <t>Source for low-income %</t>
  </si>
  <si>
    <t>Green Mountain Care Board's 2020 Vermont Health Care Expenditure Analysis, assuming 3% growth in 2019 and 2020, and</t>
  </si>
  <si>
    <t>“Provider Taxes Overview,” Langweil &amp; Carbee, JFO and OLC, November 9, 2020.</t>
  </si>
  <si>
    <t>5. This category includes Mental Health Clinics, Community Rehab Treatment, Day Treatment, Home &amp; Community Based Mental Health and Development Services, Home &amp; Community Based Care such as Aged and Disabled, Enhanced Residential Care, Assistive Community Care, Manage Care Organization Investments, Other Mental Health and Substance Abuse Services, and Miscellaneous Other AHS services.</t>
  </si>
  <si>
    <t>Notes 3 &amp; 5</t>
  </si>
  <si>
    <t>Note 3 &amp; 6</t>
  </si>
  <si>
    <t>Prescription &amp; non-script med devices/non-script meds</t>
  </si>
  <si>
    <t>Data source and explanation</t>
  </si>
  <si>
    <t xml:space="preserve">Education </t>
  </si>
  <si>
    <t xml:space="preserve">8. State-level data not available, so we assumed that the distribution of spending across income deciles in Vermont matched that of the United States: </t>
  </si>
  <si>
    <t>9. "Sales Tax on Services Study," Vermont Dept of Taxes, 2015.</t>
  </si>
  <si>
    <t>10. Includes general repair, services at dealerships, body, paint, interior, oil changes, glass replacement, washing, towing, etc.</t>
  </si>
  <si>
    <t>11. Landscaping, fitness centers, limo services, sports instruction, educational support services, etc.</t>
  </si>
  <si>
    <t>13. Legal services, accounting services, engineering services, etc.</t>
  </si>
  <si>
    <t>14. Self-storage, pet care (not veterinary), repair of household goods/appliances/electronics/furniture, RV parks, drycleaning, heating oil dealers, parking garages, marinas, formal wear rental, etc.</t>
  </si>
  <si>
    <t>15. Subscriptions to newspapers, extermination services, janitorial services, snowplowing, carpet cleaning, solid waste collection, etc.</t>
  </si>
  <si>
    <t>16. 2019 Vermont Tax Expenditure Report</t>
  </si>
  <si>
    <t>17. Absent specific data, we used the average of those goods for which we do have data.</t>
  </si>
  <si>
    <t>18. To be conservative, we assumed that all sales of mobile homes were to low-income Vermonters.</t>
  </si>
  <si>
    <t>19. For all categories for which there is not specific elasticity data, including the current sales tax base, we have assumed unit elasticity.</t>
  </si>
  <si>
    <t>20. Price elasticity of demand for health care is set at -.17, per “The Elasticity of Demand for Health Care,” RAND, 2005.</t>
  </si>
  <si>
    <t>21. https://www.reed.edu/economics/parker/f10/201/cases/elasticity.html</t>
  </si>
  <si>
    <t>22. https://www.ncbi.nlm.nih.gov/pmc/articles/PMC2804646/</t>
  </si>
  <si>
    <t>23. Estimates for the price elasticity of demand for residential energy use vary from -.1 to -1.0, with most of them landing around -.4.</t>
  </si>
  <si>
    <t>Note 12</t>
  </si>
  <si>
    <t>Automotive services</t>
  </si>
  <si>
    <t>2. Source for 2019 provider tax estimates: LJFO State Health Care Resources Fund 2019 Revenue breakdown, and</t>
  </si>
  <si>
    <t>6. Calculated by using the GMCB's number for Drugs &amp; Supplies and subtracting prescription medications.</t>
  </si>
  <si>
    <t xml:space="preserve">7. Bureau of Economic Analysis, https://apps.bea.gov/iTable/iTable.cfm?reqid=70&amp;step=1&amp;isuri=1&amp;acrdn=4#reqid=70&amp;step=1&amp;isuri=1 . </t>
  </si>
  <si>
    <t xml:space="preserve">https://accd.vermont.gov/sites/accdnew/files/documents/DED/CEDS/CEDS2020FullReport.pdf </t>
  </si>
  <si>
    <t>12. Absent specific data about what percent of a category's total spend was by the lower 40%, we used the average of those services for which we do have data.</t>
  </si>
  <si>
    <t>Notes 9, 10</t>
  </si>
  <si>
    <t xml:space="preserve">Hair, Skin, &amp; Nails </t>
  </si>
  <si>
    <t>Veterinary services</t>
  </si>
  <si>
    <t>Travel</t>
  </si>
  <si>
    <t xml:space="preserve">Funeral </t>
  </si>
  <si>
    <t>Notes 9, 14</t>
  </si>
  <si>
    <t>Household Services</t>
  </si>
  <si>
    <t>Notes 9, 13</t>
  </si>
  <si>
    <t xml:space="preserve">Professional services </t>
  </si>
  <si>
    <t>Notes 9, 11</t>
  </si>
  <si>
    <t>Services not related to personal property</t>
  </si>
  <si>
    <t>Notes 9 ,14</t>
  </si>
  <si>
    <t>Notes 16,18</t>
  </si>
  <si>
    <t>Groceries</t>
  </si>
  <si>
    <t>Residential energy</t>
  </si>
  <si>
    <t>Clothing</t>
  </si>
  <si>
    <t>Newspapers</t>
  </si>
  <si>
    <t>Sales of mobile/modular homes</t>
  </si>
  <si>
    <t>Health Care Spending by Low-Income Vermonters as a % of Total Vermont Health Care Spending</t>
  </si>
  <si>
    <t>Calculation inputs</t>
  </si>
  <si>
    <t>Value</t>
  </si>
  <si>
    <t>Number of Vermont Households in Each Household Income Range</t>
  </si>
  <si>
    <t>As noted in the report, three measures of "low-income" converge around a single value: 80% of median household income ($49,578), 250% of fpl ($47,580), and the 40th percentile ($49,999)</t>
  </si>
  <si>
    <t>Avg household size in Vermont</t>
  </si>
  <si>
    <t xml:space="preserve"> Dentists</t>
  </si>
  <si>
    <t xml:space="preserve">  Physicians</t>
  </si>
  <si>
    <t xml:space="preserve"> Other Professionals: Podiatric services</t>
  </si>
  <si>
    <t xml:space="preserve"> Other Professionals: Chiropractors</t>
  </si>
  <si>
    <t xml:space="preserve"> Other Professionals: Optometric services</t>
  </si>
  <si>
    <t xml:space="preserve"> Other Professionals: Physical Therapy</t>
  </si>
  <si>
    <t xml:space="preserve"> Other Professionals: Nursing services?</t>
  </si>
  <si>
    <t xml:space="preserve"> Psychological</t>
  </si>
  <si>
    <t xml:space="preserve">:Mental Health &amp; Other Govt Activities </t>
  </si>
  <si>
    <t xml:space="preserve">7. Once you have chosen all the categories to include, you can input a tax rate in cell E74, highlighted in green, and cells E75 and F75 will tell you how much additional revenue, compared to 2019,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</si>
</sst>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00%"/>
    <numFmt numFmtId="166" formatCode="&quot;$&quot;#,##0.00"/>
    <numFmt numFmtId="167" formatCode="&quot;$&quot;#,##0.0"/>
    <numFmt numFmtId="168" formatCode="0.0%"/>
    <numFmt numFmtId="169" formatCode="0.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/>
    <xf numFmtId="0" fontId="0" fillId="0" borderId="0" xfId="0" applyFill="1" applyAlignment="1">
      <alignment horizontal="center" vertical="center"/>
    </xf>
    <xf numFmtId="0" fontId="2" fillId="0" borderId="2" xfId="0" applyFont="1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2" fillId="0" borderId="13" xfId="0" applyFont="1" applyBorder="1"/>
    <xf numFmtId="9" fontId="0" fillId="0" borderId="10" xfId="0" applyNumberFormat="1" applyBorder="1"/>
    <xf numFmtId="6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6" fontId="0" fillId="0" borderId="0" xfId="0" applyNumberFormat="1"/>
    <xf numFmtId="165" fontId="0" fillId="0" borderId="0" xfId="1" applyNumberFormat="1" applyFont="1"/>
    <xf numFmtId="164" fontId="0" fillId="0" borderId="12" xfId="0" applyNumberFormat="1" applyBorder="1"/>
    <xf numFmtId="0" fontId="0" fillId="0" borderId="14" xfId="0" applyBorder="1"/>
    <xf numFmtId="0" fontId="0" fillId="0" borderId="16" xfId="0" applyBorder="1"/>
    <xf numFmtId="165" fontId="2" fillId="0" borderId="0" xfId="1" applyNumberFormat="1" applyFont="1"/>
    <xf numFmtId="0" fontId="2" fillId="0" borderId="18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right"/>
    </xf>
    <xf numFmtId="165" fontId="2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4"/>
    <xf numFmtId="0" fontId="0" fillId="0" borderId="0" xfId="0" applyFont="1"/>
    <xf numFmtId="0" fontId="8" fillId="0" borderId="0" xfId="0" applyFont="1"/>
    <xf numFmtId="0" fontId="9" fillId="0" borderId="0" xfId="0" applyFont="1"/>
    <xf numFmtId="169" fontId="2" fillId="0" borderId="1" xfId="1" applyNumberFormat="1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5" fillId="0" borderId="0" xfId="0" applyFont="1" applyAlignment="1"/>
    <xf numFmtId="165" fontId="0" fillId="0" borderId="0" xfId="1" applyNumberFormat="1" applyFont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/>
    <xf numFmtId="0" fontId="0" fillId="0" borderId="0" xfId="0" applyFont="1" applyBorder="1"/>
    <xf numFmtId="164" fontId="0" fillId="0" borderId="20" xfId="0" applyNumberFormat="1" applyBorder="1"/>
    <xf numFmtId="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0" fillId="0" borderId="28" xfId="0" applyNumberFormat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9" fontId="0" fillId="0" borderId="15" xfId="1" applyNumberFormat="1" applyFont="1" applyFill="1" applyBorder="1" applyAlignment="1">
      <alignment horizontal="center"/>
    </xf>
    <xf numFmtId="169" fontId="0" fillId="0" borderId="28" xfId="1" applyNumberFormat="1" applyFont="1" applyFill="1" applyBorder="1" applyAlignment="1">
      <alignment horizontal="center"/>
    </xf>
    <xf numFmtId="169" fontId="0" fillId="0" borderId="15" xfId="1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0" fillId="0" borderId="3" xfId="0" applyBorder="1" applyAlignment="1">
      <alignment horizontal="right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right" vertical="center"/>
    </xf>
    <xf numFmtId="6" fontId="0" fillId="0" borderId="10" xfId="0" applyNumberForma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12" xfId="0" applyBorder="1" applyAlignment="1">
      <alignment horizontal="right" vertical="center" wrapText="1"/>
    </xf>
    <xf numFmtId="164" fontId="0" fillId="0" borderId="12" xfId="0" applyNumberFormat="1" applyBorder="1" applyAlignment="1">
      <alignment vertical="center"/>
    </xf>
    <xf numFmtId="8" fontId="0" fillId="0" borderId="0" xfId="0" applyNumberFormat="1"/>
    <xf numFmtId="0" fontId="2" fillId="0" borderId="31" xfId="0" applyFont="1" applyBorder="1" applyAlignment="1">
      <alignment horizontal="right"/>
    </xf>
    <xf numFmtId="0" fontId="2" fillId="0" borderId="32" xfId="0" applyFont="1" applyFill="1" applyBorder="1" applyAlignment="1">
      <alignment horizontal="right" vertic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6" fontId="0" fillId="0" borderId="0" xfId="0" applyNumberFormat="1" applyAlignment="1">
      <alignment horizontal="center"/>
    </xf>
    <xf numFmtId="9" fontId="0" fillId="0" borderId="0" xfId="0" applyNumberFormat="1"/>
    <xf numFmtId="3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164" fontId="0" fillId="0" borderId="10" xfId="0" applyNumberFormat="1" applyBorder="1" applyAlignment="1">
      <alignment horizontal="center"/>
    </xf>
    <xf numFmtId="164" fontId="0" fillId="0" borderId="10" xfId="2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horizontal="right"/>
    </xf>
    <xf numFmtId="6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2" xfId="2" applyNumberFormat="1" applyFont="1" applyBorder="1" applyAlignment="1">
      <alignment horizontal="center"/>
    </xf>
    <xf numFmtId="168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6" fontId="0" fillId="0" borderId="0" xfId="0" applyNumberFormat="1" applyFont="1" applyAlignment="1">
      <alignment horizontal="center"/>
    </xf>
    <xf numFmtId="9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64" fontId="0" fillId="0" borderId="20" xfId="0" applyNumberFormat="1" applyFill="1" applyBorder="1" applyAlignment="1">
      <alignment horizontal="center" wrapText="1"/>
    </xf>
    <xf numFmtId="168" fontId="0" fillId="0" borderId="22" xfId="1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7" xfId="0" applyNumberForma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 wrapText="1"/>
    </xf>
    <xf numFmtId="166" fontId="6" fillId="0" borderId="10" xfId="0" applyNumberFormat="1" applyFont="1" applyBorder="1" applyAlignment="1">
      <alignment horizontal="center" vertical="center"/>
    </xf>
    <xf numFmtId="168" fontId="0" fillId="0" borderId="3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4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0" xfId="0" applyFont="1" applyBorder="1"/>
    <xf numFmtId="0" fontId="0" fillId="0" borderId="10" xfId="0" applyFill="1" applyBorder="1" applyAlignment="1">
      <alignment horizontal="right"/>
    </xf>
    <xf numFmtId="164" fontId="0" fillId="0" borderId="10" xfId="0" applyNumberForma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18" xfId="0" applyFont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164" fontId="0" fillId="0" borderId="17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8" fontId="0" fillId="0" borderId="34" xfId="0" applyNumberFormat="1" applyFont="1" applyBorder="1" applyAlignment="1">
      <alignment horizontal="center"/>
    </xf>
    <xf numFmtId="9" fontId="0" fillId="0" borderId="34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Fill="1" applyBorder="1"/>
    <xf numFmtId="3" fontId="0" fillId="0" borderId="30" xfId="0" applyNumberFormat="1" applyBorder="1" applyAlignment="1">
      <alignment horizontal="center"/>
    </xf>
    <xf numFmtId="0" fontId="0" fillId="0" borderId="13" xfId="0" applyBorder="1"/>
    <xf numFmtId="0" fontId="0" fillId="0" borderId="21" xfId="0" applyBorder="1"/>
    <xf numFmtId="0" fontId="0" fillId="0" borderId="36" xfId="0" applyBorder="1"/>
    <xf numFmtId="0" fontId="0" fillId="0" borderId="34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167" fontId="0" fillId="0" borderId="37" xfId="0" applyNumberFormat="1" applyBorder="1"/>
    <xf numFmtId="167" fontId="0" fillId="0" borderId="38" xfId="0" applyNumberFormat="1" applyBorder="1"/>
    <xf numFmtId="10" fontId="0" fillId="0" borderId="36" xfId="0" applyNumberFormat="1" applyBorder="1"/>
    <xf numFmtId="10" fontId="0" fillId="0" borderId="34" xfId="0" applyNumberFormat="1" applyBorder="1"/>
    <xf numFmtId="6" fontId="0" fillId="0" borderId="36" xfId="0" applyNumberFormat="1" applyBorder="1"/>
    <xf numFmtId="6" fontId="0" fillId="0" borderId="34" xfId="0" applyNumberFormat="1" applyBorder="1"/>
    <xf numFmtId="9" fontId="2" fillId="0" borderId="21" xfId="0" applyNumberFormat="1" applyFont="1" applyBorder="1"/>
    <xf numFmtId="164" fontId="2" fillId="0" borderId="3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/>
    <xf numFmtId="9" fontId="0" fillId="0" borderId="21" xfId="0" applyNumberFormat="1" applyBorder="1"/>
    <xf numFmtId="0" fontId="0" fillId="0" borderId="34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34" xfId="0" applyBorder="1" applyAlignment="1">
      <alignment horizontal="center"/>
    </xf>
    <xf numFmtId="6" fontId="0" fillId="0" borderId="35" xfId="0" applyNumberFormat="1" applyBorder="1" applyAlignment="1"/>
    <xf numFmtId="0" fontId="0" fillId="0" borderId="40" xfId="0" applyBorder="1"/>
    <xf numFmtId="0" fontId="7" fillId="0" borderId="21" xfId="4" applyBorder="1"/>
    <xf numFmtId="6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4" xfId="0" applyFont="1" applyBorder="1" applyAlignment="1">
      <alignment horizontal="right"/>
    </xf>
    <xf numFmtId="168" fontId="2" fillId="0" borderId="10" xfId="1" applyNumberFormat="1" applyFont="1" applyBorder="1" applyAlignment="1">
      <alignment horizont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69" fontId="0" fillId="6" borderId="14" xfId="1" applyNumberFormat="1" applyFont="1" applyFill="1" applyBorder="1" applyAlignment="1" applyProtection="1">
      <alignment horizontal="center"/>
      <protection locked="0"/>
    </xf>
    <xf numFmtId="164" fontId="2" fillId="0" borderId="27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</cellXfs>
  <cellStyles count="5">
    <cellStyle name="Currency" xfId="2" builtinId="4"/>
    <cellStyle name="Hyperlink" xfId="4" builtinId="8"/>
    <cellStyle name="Normal" xfId="0" builtinId="0"/>
    <cellStyle name="Normal 2" xfId="3" xr:uid="{0DF55772-7EE3-43E5-B60F-C50259A00C2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4124325</xdr:colOff>
      <xdr:row>0</xdr:row>
      <xdr:rowOff>38101</xdr:rowOff>
    </xdr:from>
    <xdr:to>
      <xdr:col>12</xdr:col>
      <xdr:colOff>0</xdr:colOff>
      <xdr:row>2</xdr:row>
      <xdr:rowOff>114301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CAB948-0481-4761-960E-BF183EB2C37F}"/>
            </a:ext>
          </a:extLst>
        </xdr:cNvPr>
        <xdr:cNvSpPr txBox="1"/>
      </xdr:nvSpPr>
      <xdr:spPr>
        <a:xfrm>
          <a:off x="4724400" y="38101"/>
          <a:ext cx="8486775" cy="4572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Sales Tax Calculator was developed by Commissioner Bram Kleppner of the Tax Structure Commission to ac</a:t>
          </a:r>
          <a:r>
            <a:rPr lang="en-U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company the Commission’s 2021 report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the legislature.  The figures and analysis have not been verified by the Legislative Joint Fiscal Office.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accd.vermont.gov/sites/accdnew/files/documents/DED/CEDS/CEDS2020FullRepor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and.org/content/dam/rand/pubs/research_reports/RR900/RR901/RAND_RR901.pdf,%20p%2029:%20Table%204.3.%20Average%20Payments%20for%20Health%20Care%20Per%20Capita,%20by%20Family%20Income%20Level,%20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DEBCF-EF80-4D51-9BCD-19CC40FA5F9B}">
  <dimension ref="B1:U112"/>
  <sheetViews>
    <sheetView tabSelected="1" workbookViewId="0">
      <selection activeCell="C7" sqref="C7"/>
    </sheetView>
  </sheetViews>
  <sheetFormatPr defaultRowHeight="15" x14ac:dyDescent="0.25"/>
  <cols>
    <col min="1" max="1" width="1.5703125" customWidth="1"/>
    <col min="2" max="2" width="7.42578125" customWidth="1"/>
    <col min="3" max="3" width="72.7109375" customWidth="1"/>
    <col min="4" max="4" width="16" customWidth="1"/>
    <col min="5" max="5" width="15.85546875" customWidth="1"/>
    <col min="6" max="6" width="16.7109375" customWidth="1"/>
    <col min="7" max="7" width="14.85546875" customWidth="1"/>
    <col min="8" max="8" width="14.7109375" style="31" customWidth="1"/>
    <col min="9" max="9" width="8.28515625" customWidth="1"/>
    <col min="10" max="10" width="10.85546875" style="31" customWidth="1"/>
    <col min="11" max="11" width="9.42578125" style="31" customWidth="1"/>
    <col min="12" max="12" width="13.28515625" customWidth="1"/>
  </cols>
  <sheetData>
    <row r="1" spans="2:11" x14ac:dyDescent="0.25">
      <c r="B1" s="7" t="s">
        <v>30</v>
      </c>
      <c r="D1" s="1"/>
      <c r="E1" s="2"/>
      <c r="F1" s="2"/>
    </row>
    <row r="2" spans="2:11" x14ac:dyDescent="0.25">
      <c r="D2" s="1"/>
      <c r="E2" s="2"/>
      <c r="F2" s="2"/>
      <c r="G2" s="2"/>
    </row>
    <row r="3" spans="2:11" x14ac:dyDescent="0.25">
      <c r="B3" s="7" t="s">
        <v>0</v>
      </c>
      <c r="D3" s="1"/>
      <c r="E3" s="2"/>
      <c r="F3" s="2"/>
      <c r="G3" s="2"/>
    </row>
    <row r="4" spans="2:11" x14ac:dyDescent="0.25">
      <c r="B4" t="s">
        <v>58</v>
      </c>
      <c r="D4" s="1"/>
      <c r="E4" s="2"/>
      <c r="F4" s="2"/>
      <c r="G4" s="2"/>
    </row>
    <row r="5" spans="2:11" x14ac:dyDescent="0.25">
      <c r="B5" t="s">
        <v>50</v>
      </c>
      <c r="D5" s="1"/>
      <c r="E5" s="2"/>
      <c r="F5" s="2"/>
      <c r="G5" s="2"/>
    </row>
    <row r="6" spans="2:11" x14ac:dyDescent="0.25">
      <c r="B6" s="3" t="s">
        <v>59</v>
      </c>
    </row>
    <row r="7" spans="2:11" x14ac:dyDescent="0.25">
      <c r="B7" s="3" t="s">
        <v>51</v>
      </c>
    </row>
    <row r="8" spans="2:11" x14ac:dyDescent="0.25">
      <c r="B8" s="3" t="s">
        <v>115</v>
      </c>
    </row>
    <row r="9" spans="2:11" x14ac:dyDescent="0.25">
      <c r="B9" s="3" t="s">
        <v>116</v>
      </c>
    </row>
    <row r="10" spans="2:11" x14ac:dyDescent="0.25">
      <c r="B10" s="3" t="s">
        <v>191</v>
      </c>
      <c r="K10" s="98"/>
    </row>
    <row r="11" spans="2:11" x14ac:dyDescent="0.25">
      <c r="C11" t="s">
        <v>117</v>
      </c>
    </row>
    <row r="12" spans="2:11" ht="14.45" customHeight="1" x14ac:dyDescent="0.25">
      <c r="B12" s="3" t="s">
        <v>118</v>
      </c>
      <c r="C12" s="1"/>
    </row>
    <row r="13" spans="2:11" ht="15.75" thickBot="1" x14ac:dyDescent="0.3">
      <c r="C13" s="1"/>
      <c r="E13" s="2"/>
      <c r="F13" s="2"/>
      <c r="G13" s="2"/>
      <c r="H13" s="20"/>
      <c r="K13" s="28"/>
    </row>
    <row r="14" spans="2:11" ht="60" x14ac:dyDescent="0.25">
      <c r="B14" s="103" t="s">
        <v>8</v>
      </c>
      <c r="C14" s="104"/>
      <c r="D14" s="105" t="s">
        <v>16</v>
      </c>
      <c r="E14" s="106" t="s">
        <v>17</v>
      </c>
      <c r="F14" s="106" t="s">
        <v>119</v>
      </c>
      <c r="G14" s="105" t="s">
        <v>60</v>
      </c>
      <c r="H14" s="106" t="s">
        <v>10</v>
      </c>
      <c r="I14" s="124" t="s">
        <v>61</v>
      </c>
      <c r="J14" s="129" t="s">
        <v>134</v>
      </c>
    </row>
    <row r="15" spans="2:11" ht="13.15" customHeight="1" thickBot="1" x14ac:dyDescent="0.3">
      <c r="B15" s="25"/>
      <c r="C15" s="107"/>
      <c r="D15" s="108">
        <f>E15*0.06</f>
        <v>419459875.2234</v>
      </c>
      <c r="E15" s="109">
        <v>6990997920.3900003</v>
      </c>
      <c r="F15" s="109">
        <f>E15*(1+(0.06-F64))</f>
        <v>6993643927.5019417</v>
      </c>
      <c r="G15" s="23">
        <f>E18+E19+E20+E21+E22+E23</f>
        <v>3465384777</v>
      </c>
      <c r="H15" s="110">
        <v>173917720.00299996</v>
      </c>
      <c r="I15" s="125">
        <f>H15/G15</f>
        <v>5.018713106761015E-2</v>
      </c>
      <c r="J15" s="128" t="s">
        <v>15</v>
      </c>
    </row>
    <row r="16" spans="2:11" ht="13.15" customHeight="1" x14ac:dyDescent="0.25">
      <c r="B16" s="12"/>
      <c r="C16" s="4"/>
      <c r="D16" s="45"/>
      <c r="E16" s="46"/>
      <c r="F16" s="46"/>
      <c r="G16" s="47"/>
      <c r="H16" s="40"/>
    </row>
    <row r="17" spans="2:21" ht="105.75" thickBot="1" x14ac:dyDescent="0.3">
      <c r="B17" s="7" t="s">
        <v>42</v>
      </c>
      <c r="C17" s="1"/>
      <c r="E17" s="134" t="s">
        <v>32</v>
      </c>
      <c r="F17" s="134" t="s">
        <v>37</v>
      </c>
      <c r="G17" s="134" t="s">
        <v>31</v>
      </c>
      <c r="H17" s="134" t="s">
        <v>7</v>
      </c>
      <c r="I17" s="99" t="s">
        <v>11</v>
      </c>
      <c r="J17" s="126" t="s">
        <v>134</v>
      </c>
      <c r="K17" s="99" t="s">
        <v>126</v>
      </c>
      <c r="L17" s="130" t="s">
        <v>127</v>
      </c>
    </row>
    <row r="18" spans="2:21" x14ac:dyDescent="0.25">
      <c r="B18" s="203" t="s">
        <v>52</v>
      </c>
      <c r="C18" s="204"/>
      <c r="D18" s="189"/>
      <c r="E18" s="70">
        <v>2503166667</v>
      </c>
      <c r="F18" s="70">
        <f>E18*(1-I$18)</f>
        <v>2305416500.3070002</v>
      </c>
      <c r="G18" s="70">
        <f>E18*(1-(0.17*(E62-0.06)))</f>
        <v>2528698975.5736785</v>
      </c>
      <c r="H18" s="71">
        <f>G18*(1-I18)</f>
        <v>2328931756.5033579</v>
      </c>
      <c r="I18" s="133">
        <v>7.9000000000000001E-2</v>
      </c>
      <c r="J18" s="131" t="s">
        <v>124</v>
      </c>
      <c r="K18" s="131" t="s">
        <v>27</v>
      </c>
      <c r="L18" s="132" t="s">
        <v>18</v>
      </c>
      <c r="M18" s="37"/>
      <c r="N18" s="37"/>
      <c r="O18" s="37"/>
      <c r="P18" s="37"/>
      <c r="Q18" s="37"/>
      <c r="R18" s="37"/>
      <c r="S18" s="37"/>
      <c r="T18" s="37"/>
      <c r="U18" s="37"/>
    </row>
    <row r="19" spans="2:21" x14ac:dyDescent="0.25">
      <c r="B19" s="201" t="s">
        <v>53</v>
      </c>
      <c r="C19" s="202"/>
      <c r="D19" s="190"/>
      <c r="E19" s="69">
        <v>270962000</v>
      </c>
      <c r="F19" s="69">
        <f t="shared" ref="F19:F23" si="0">E19*(1-I$18)</f>
        <v>249556002</v>
      </c>
      <c r="G19" s="69">
        <f>E19*(1-(0.17*(E62-0.06)))</f>
        <v>273725813.32771283</v>
      </c>
      <c r="H19" s="72">
        <f t="shared" ref="H19:H23" si="1">G19*(1-I19)</f>
        <v>252101474.07482353</v>
      </c>
      <c r="I19" s="133">
        <v>7.9000000000000001E-2</v>
      </c>
      <c r="J19" s="131" t="s">
        <v>124</v>
      </c>
      <c r="K19" s="131" t="s">
        <v>27</v>
      </c>
      <c r="L19" s="132" t="s">
        <v>18</v>
      </c>
      <c r="M19" s="37"/>
      <c r="N19" s="37"/>
      <c r="O19" s="37"/>
      <c r="P19" s="37"/>
      <c r="Q19" s="37"/>
      <c r="R19" s="37"/>
      <c r="S19" s="37"/>
      <c r="T19" s="37"/>
      <c r="U19" s="37"/>
    </row>
    <row r="20" spans="2:21" x14ac:dyDescent="0.25">
      <c r="B20" s="205" t="s">
        <v>54</v>
      </c>
      <c r="C20" s="206"/>
      <c r="D20" s="190"/>
      <c r="E20" s="69">
        <v>131294118</v>
      </c>
      <c r="F20" s="69">
        <f t="shared" si="0"/>
        <v>120921882.678</v>
      </c>
      <c r="G20" s="69">
        <f>E20*(1-(0.17*(E62-0.0425)))</f>
        <v>132242718.45207147</v>
      </c>
      <c r="H20" s="72">
        <f t="shared" si="1"/>
        <v>121795543.69435783</v>
      </c>
      <c r="I20" s="133">
        <v>7.9000000000000001E-2</v>
      </c>
      <c r="J20" s="131" t="s">
        <v>124</v>
      </c>
      <c r="K20" s="131" t="s">
        <v>27</v>
      </c>
      <c r="L20" s="132" t="s">
        <v>18</v>
      </c>
      <c r="M20" s="37"/>
      <c r="N20" s="37"/>
      <c r="O20" s="37"/>
      <c r="P20" s="37"/>
      <c r="Q20" s="37"/>
      <c r="R20" s="37"/>
      <c r="S20" s="37"/>
      <c r="T20" s="37"/>
      <c r="U20" s="37"/>
    </row>
    <row r="21" spans="2:21" x14ac:dyDescent="0.25">
      <c r="B21" s="205" t="s">
        <v>56</v>
      </c>
      <c r="C21" s="206"/>
      <c r="D21" s="190"/>
      <c r="E21" s="69">
        <v>1355932</v>
      </c>
      <c r="F21" s="69">
        <f t="shared" si="0"/>
        <v>1248813.372</v>
      </c>
      <c r="G21" s="69">
        <f>E21*(1-(0.17*(E62-0.059)))</f>
        <v>1369532.0026024056</v>
      </c>
      <c r="H21" s="72">
        <f t="shared" si="1"/>
        <v>1261338.9743968155</v>
      </c>
      <c r="I21" s="133">
        <v>7.9000000000000001E-2</v>
      </c>
      <c r="J21" s="131" t="s">
        <v>124</v>
      </c>
      <c r="K21" s="131" t="s">
        <v>27</v>
      </c>
      <c r="L21" s="132" t="s">
        <v>18</v>
      </c>
      <c r="M21" s="37"/>
      <c r="N21" s="37"/>
      <c r="O21" s="37"/>
      <c r="P21" s="37"/>
      <c r="Q21" s="37"/>
      <c r="R21" s="37"/>
      <c r="S21" s="37"/>
      <c r="T21" s="37"/>
      <c r="U21" s="37"/>
    </row>
    <row r="22" spans="2:21" x14ac:dyDescent="0.25">
      <c r="B22" s="201" t="s">
        <v>55</v>
      </c>
      <c r="C22" s="202"/>
      <c r="D22" s="190"/>
      <c r="E22" s="69">
        <v>528000000</v>
      </c>
      <c r="F22" s="69">
        <f t="shared" si="0"/>
        <v>486288000</v>
      </c>
      <c r="G22" s="69">
        <f>E22*(1-(0.17*(E62-0.00152)))</f>
        <v>528136437.00775301</v>
      </c>
      <c r="H22" s="72">
        <f t="shared" si="1"/>
        <v>486413658.48414057</v>
      </c>
      <c r="I22" s="133">
        <v>7.9000000000000001E-2</v>
      </c>
      <c r="J22" s="131" t="s">
        <v>124</v>
      </c>
      <c r="K22" s="131" t="s">
        <v>27</v>
      </c>
      <c r="L22" s="132" t="s">
        <v>18</v>
      </c>
      <c r="M22" s="37"/>
      <c r="N22" s="37"/>
      <c r="O22" s="37"/>
      <c r="P22" s="37"/>
      <c r="Q22" s="37"/>
      <c r="R22" s="37"/>
      <c r="S22" s="37"/>
      <c r="T22" s="37"/>
      <c r="U22" s="37"/>
    </row>
    <row r="23" spans="2:21" ht="15.75" thickBot="1" x14ac:dyDescent="0.3">
      <c r="B23" s="199" t="s">
        <v>57</v>
      </c>
      <c r="C23" s="200"/>
      <c r="D23" s="191"/>
      <c r="E23" s="73">
        <v>30606060</v>
      </c>
      <c r="F23" s="73">
        <f t="shared" si="0"/>
        <v>28188181.260000002</v>
      </c>
      <c r="G23" s="73">
        <f>E23*(1-(0.17*(E62-0.033)))</f>
        <v>30777760.101388253</v>
      </c>
      <c r="H23" s="74">
        <f t="shared" si="1"/>
        <v>28346317.053378582</v>
      </c>
      <c r="I23" s="133">
        <v>7.9000000000000001E-2</v>
      </c>
      <c r="J23" s="131" t="s">
        <v>124</v>
      </c>
      <c r="K23" s="131" t="s">
        <v>27</v>
      </c>
      <c r="L23" s="132" t="s">
        <v>18</v>
      </c>
      <c r="M23" s="37"/>
      <c r="N23" s="37"/>
      <c r="O23" s="37"/>
      <c r="P23" s="37"/>
      <c r="Q23" s="37"/>
      <c r="R23" s="37"/>
      <c r="S23" s="37"/>
      <c r="T23" s="37"/>
      <c r="U23" s="37"/>
    </row>
    <row r="24" spans="2:21" ht="15.75" thickBot="1" x14ac:dyDescent="0.3">
      <c r="B24" s="66"/>
      <c r="C24" s="65"/>
      <c r="D24" s="13"/>
      <c r="E24" s="67"/>
      <c r="F24" s="67"/>
      <c r="G24" s="67"/>
      <c r="H24" s="68"/>
      <c r="I24" s="111"/>
      <c r="J24" s="115"/>
      <c r="K24" s="115"/>
    </row>
    <row r="25" spans="2:21" ht="90" x14ac:dyDescent="0.25">
      <c r="B25" s="81" t="s">
        <v>45</v>
      </c>
      <c r="C25" s="76"/>
      <c r="D25" s="15"/>
      <c r="E25" s="77"/>
      <c r="F25" s="77"/>
      <c r="G25" s="77"/>
      <c r="H25" s="78"/>
      <c r="I25" s="99" t="s">
        <v>11</v>
      </c>
      <c r="J25" s="126" t="s">
        <v>134</v>
      </c>
      <c r="K25" s="126" t="s">
        <v>126</v>
      </c>
      <c r="L25" s="130" t="s">
        <v>127</v>
      </c>
    </row>
    <row r="26" spans="2:21" x14ac:dyDescent="0.25">
      <c r="B26" s="82"/>
      <c r="C26" s="94" t="s">
        <v>183</v>
      </c>
      <c r="D26" s="192"/>
      <c r="E26" s="69">
        <v>498453000</v>
      </c>
      <c r="F26" s="69">
        <f>E26*(1-I$18)</f>
        <v>459075213</v>
      </c>
      <c r="G26" s="69">
        <f t="shared" ref="G26:G34" si="2">E26*(1-(0.17*E$62))</f>
        <v>498453001.70659071</v>
      </c>
      <c r="H26" s="72">
        <f>G26*(1-I$18)</f>
        <v>459075214.57177007</v>
      </c>
      <c r="I26" s="136">
        <v>7.9000000000000001E-2</v>
      </c>
      <c r="J26" s="131" t="s">
        <v>124</v>
      </c>
      <c r="K26" s="131" t="s">
        <v>27</v>
      </c>
      <c r="L26" s="132" t="s">
        <v>18</v>
      </c>
    </row>
    <row r="27" spans="2:21" x14ac:dyDescent="0.25">
      <c r="B27" s="82"/>
      <c r="C27" s="94" t="s">
        <v>182</v>
      </c>
      <c r="D27" s="192"/>
      <c r="E27" s="69">
        <v>324381000</v>
      </c>
      <c r="F27" s="69">
        <f t="shared" ref="F27:F39" si="3">E27*(1-I$18)</f>
        <v>298754901</v>
      </c>
      <c r="G27" s="69">
        <f t="shared" si="2"/>
        <v>324381001.11060745</v>
      </c>
      <c r="H27" s="72">
        <f t="shared" ref="H27:H39" si="4">G27*(1-I$18)</f>
        <v>298754902.02286947</v>
      </c>
      <c r="I27" s="136">
        <v>7.9000000000000001E-2</v>
      </c>
      <c r="J27" s="131" t="s">
        <v>124</v>
      </c>
      <c r="K27" s="131" t="s">
        <v>27</v>
      </c>
      <c r="L27" s="132" t="s">
        <v>18</v>
      </c>
    </row>
    <row r="28" spans="2:21" x14ac:dyDescent="0.25">
      <c r="B28" s="82"/>
      <c r="C28" s="94" t="s">
        <v>184</v>
      </c>
      <c r="D28" s="192"/>
      <c r="E28" s="80">
        <v>2432000</v>
      </c>
      <c r="F28" s="69">
        <f t="shared" si="3"/>
        <v>2239872</v>
      </c>
      <c r="G28" s="69">
        <f t="shared" si="2"/>
        <v>2432000.0083266199</v>
      </c>
      <c r="H28" s="72">
        <f t="shared" si="4"/>
        <v>2239872.007668817</v>
      </c>
      <c r="I28" s="136">
        <v>7.9000000000000001E-2</v>
      </c>
      <c r="J28" s="131" t="s">
        <v>124</v>
      </c>
      <c r="K28" s="131" t="s">
        <v>27</v>
      </c>
      <c r="L28" s="132" t="s">
        <v>18</v>
      </c>
    </row>
    <row r="29" spans="2:21" x14ac:dyDescent="0.25">
      <c r="B29" s="82"/>
      <c r="C29" s="94" t="s">
        <v>185</v>
      </c>
      <c r="D29" s="192"/>
      <c r="E29" s="69">
        <v>30380000</v>
      </c>
      <c r="F29" s="69">
        <f t="shared" si="3"/>
        <v>27979980</v>
      </c>
      <c r="G29" s="69">
        <f t="shared" si="2"/>
        <v>30380000.104014274</v>
      </c>
      <c r="H29" s="72">
        <f t="shared" si="4"/>
        <v>27979980.095797148</v>
      </c>
      <c r="I29" s="136">
        <v>7.9000000000000001E-2</v>
      </c>
      <c r="J29" s="131" t="s">
        <v>124</v>
      </c>
      <c r="K29" s="131" t="s">
        <v>27</v>
      </c>
      <c r="L29" s="132" t="s">
        <v>18</v>
      </c>
    </row>
    <row r="30" spans="2:21" x14ac:dyDescent="0.25">
      <c r="B30" s="82"/>
      <c r="C30" s="94" t="s">
        <v>186</v>
      </c>
      <c r="D30" s="192"/>
      <c r="E30" s="69">
        <v>44000000</v>
      </c>
      <c r="F30" s="69">
        <f t="shared" si="3"/>
        <v>40524000</v>
      </c>
      <c r="G30" s="69">
        <f t="shared" si="2"/>
        <v>44000000.150646083</v>
      </c>
      <c r="H30" s="72">
        <f t="shared" si="4"/>
        <v>40524000.138745047</v>
      </c>
      <c r="I30" s="136">
        <v>7.9000000000000001E-2</v>
      </c>
      <c r="J30" s="131" t="s">
        <v>124</v>
      </c>
      <c r="K30" s="131" t="s">
        <v>27</v>
      </c>
      <c r="L30" s="132" t="s">
        <v>18</v>
      </c>
    </row>
    <row r="31" spans="2:21" x14ac:dyDescent="0.25">
      <c r="B31" s="82"/>
      <c r="C31" s="94" t="s">
        <v>187</v>
      </c>
      <c r="D31" s="192"/>
      <c r="E31" s="69">
        <v>72989000</v>
      </c>
      <c r="F31" s="69">
        <f t="shared" si="3"/>
        <v>67222869</v>
      </c>
      <c r="G31" s="69">
        <f t="shared" si="2"/>
        <v>72989000.249897882</v>
      </c>
      <c r="H31" s="72">
        <f t="shared" si="4"/>
        <v>67222869.23015596</v>
      </c>
      <c r="I31" s="136">
        <v>7.9000000000000001E-2</v>
      </c>
      <c r="J31" s="131" t="s">
        <v>124</v>
      </c>
      <c r="K31" s="131" t="s">
        <v>27</v>
      </c>
      <c r="L31" s="132" t="s">
        <v>18</v>
      </c>
    </row>
    <row r="32" spans="2:21" x14ac:dyDescent="0.25">
      <c r="B32" s="82"/>
      <c r="C32" s="94" t="s">
        <v>188</v>
      </c>
      <c r="D32" s="192"/>
      <c r="E32" s="69">
        <v>156553000</v>
      </c>
      <c r="F32" s="69">
        <f t="shared" si="3"/>
        <v>144185313</v>
      </c>
      <c r="G32" s="69">
        <f t="shared" si="2"/>
        <v>156553000.53600219</v>
      </c>
      <c r="H32" s="72">
        <f t="shared" si="4"/>
        <v>144185313.49365804</v>
      </c>
      <c r="I32" s="136">
        <v>7.9000000000000001E-2</v>
      </c>
      <c r="J32" s="131" t="s">
        <v>124</v>
      </c>
      <c r="K32" s="131" t="s">
        <v>27</v>
      </c>
      <c r="L32" s="132" t="s">
        <v>18</v>
      </c>
    </row>
    <row r="33" spans="2:21" x14ac:dyDescent="0.25">
      <c r="B33" s="82"/>
      <c r="C33" s="94" t="s">
        <v>189</v>
      </c>
      <c r="D33" s="192"/>
      <c r="E33" s="69">
        <v>60941000</v>
      </c>
      <c r="F33" s="69">
        <f t="shared" si="3"/>
        <v>56126661</v>
      </c>
      <c r="G33" s="69">
        <f t="shared" si="2"/>
        <v>60941000.20864825</v>
      </c>
      <c r="H33" s="72">
        <f t="shared" si="4"/>
        <v>56126661.192165039</v>
      </c>
      <c r="I33" s="136">
        <v>7.9000000000000001E-2</v>
      </c>
      <c r="J33" s="131" t="s">
        <v>124</v>
      </c>
      <c r="K33" s="131" t="s">
        <v>27</v>
      </c>
      <c r="L33" s="132" t="s">
        <v>18</v>
      </c>
    </row>
    <row r="34" spans="2:21" x14ac:dyDescent="0.25">
      <c r="B34" s="82"/>
      <c r="C34" s="93" t="s">
        <v>190</v>
      </c>
      <c r="D34" s="192"/>
      <c r="E34" s="69">
        <v>831397000</v>
      </c>
      <c r="F34" s="69">
        <f t="shared" si="3"/>
        <v>765716637</v>
      </c>
      <c r="G34" s="69">
        <f t="shared" si="2"/>
        <v>831397002.84651589</v>
      </c>
      <c r="H34" s="72">
        <f t="shared" si="4"/>
        <v>765716639.62164116</v>
      </c>
      <c r="I34" s="136">
        <v>7.9000000000000001E-2</v>
      </c>
      <c r="J34" s="131" t="s">
        <v>131</v>
      </c>
      <c r="K34" s="131" t="s">
        <v>27</v>
      </c>
      <c r="L34" s="132" t="s">
        <v>18</v>
      </c>
    </row>
    <row r="35" spans="2:21" hidden="1" x14ac:dyDescent="0.25">
      <c r="B35" s="82"/>
      <c r="C35" s="79" t="s">
        <v>44</v>
      </c>
      <c r="D35" s="192"/>
      <c r="E35" s="69"/>
      <c r="F35" s="69">
        <f t="shared" si="3"/>
        <v>0</v>
      </c>
      <c r="G35" s="69"/>
      <c r="H35" s="72">
        <f t="shared" si="4"/>
        <v>0</v>
      </c>
      <c r="I35" s="136">
        <v>7.9000000000000001E-2</v>
      </c>
      <c r="J35" s="131" t="s">
        <v>124</v>
      </c>
      <c r="K35" s="131" t="s">
        <v>27</v>
      </c>
      <c r="L35" s="132" t="s">
        <v>18</v>
      </c>
    </row>
    <row r="36" spans="2:21" hidden="1" x14ac:dyDescent="0.25">
      <c r="B36" s="82"/>
      <c r="C36" s="79" t="s">
        <v>46</v>
      </c>
      <c r="D36" s="192"/>
      <c r="E36" s="69"/>
      <c r="F36" s="69">
        <f t="shared" si="3"/>
        <v>0</v>
      </c>
      <c r="G36" s="69"/>
      <c r="H36" s="72">
        <f t="shared" si="4"/>
        <v>0</v>
      </c>
      <c r="I36" s="136">
        <v>7.9000000000000001E-2</v>
      </c>
      <c r="J36" s="131" t="s">
        <v>124</v>
      </c>
      <c r="K36" s="131" t="s">
        <v>27</v>
      </c>
      <c r="L36" s="132" t="s">
        <v>18</v>
      </c>
    </row>
    <row r="37" spans="2:21" hidden="1" x14ac:dyDescent="0.25">
      <c r="B37" s="82"/>
      <c r="C37" s="79" t="s">
        <v>43</v>
      </c>
      <c r="D37" s="192"/>
      <c r="E37" s="69"/>
      <c r="F37" s="69">
        <f t="shared" si="3"/>
        <v>0</v>
      </c>
      <c r="G37" s="69"/>
      <c r="H37" s="72">
        <f t="shared" si="4"/>
        <v>0</v>
      </c>
      <c r="I37" s="136">
        <v>7.9000000000000001E-2</v>
      </c>
      <c r="J37" s="131" t="s">
        <v>124</v>
      </c>
      <c r="K37" s="131" t="s">
        <v>27</v>
      </c>
      <c r="L37" s="132" t="s">
        <v>18</v>
      </c>
    </row>
    <row r="38" spans="2:21" hidden="1" x14ac:dyDescent="0.25">
      <c r="B38" s="82"/>
      <c r="C38" s="79" t="s">
        <v>47</v>
      </c>
      <c r="D38" s="192"/>
      <c r="E38" s="69"/>
      <c r="F38" s="69">
        <f t="shared" si="3"/>
        <v>0</v>
      </c>
      <c r="G38" s="69"/>
      <c r="H38" s="72">
        <f t="shared" si="4"/>
        <v>0</v>
      </c>
      <c r="I38" s="136">
        <v>7.9000000000000001E-2</v>
      </c>
      <c r="J38" s="131" t="s">
        <v>124</v>
      </c>
      <c r="K38" s="131" t="s">
        <v>27</v>
      </c>
      <c r="L38" s="132" t="s">
        <v>18</v>
      </c>
    </row>
    <row r="39" spans="2:21" ht="15.75" thickBot="1" x14ac:dyDescent="0.3">
      <c r="B39" s="83"/>
      <c r="C39" s="84" t="s">
        <v>133</v>
      </c>
      <c r="D39" s="193"/>
      <c r="E39" s="85">
        <f>901796000-E22</f>
        <v>373796000</v>
      </c>
      <c r="F39" s="73">
        <f t="shared" si="3"/>
        <v>344266116</v>
      </c>
      <c r="G39" s="73">
        <f>E39*(1-(0.17*E$62))</f>
        <v>373796001.27979326</v>
      </c>
      <c r="H39" s="74">
        <f t="shared" si="4"/>
        <v>344266117.1786896</v>
      </c>
      <c r="I39" s="136">
        <v>7.9000000000000001E-2</v>
      </c>
      <c r="J39" s="131" t="s">
        <v>132</v>
      </c>
      <c r="K39" s="131" t="s">
        <v>27</v>
      </c>
      <c r="L39" s="135" t="s">
        <v>18</v>
      </c>
    </row>
    <row r="40" spans="2:21" x14ac:dyDescent="0.25">
      <c r="B40" s="66"/>
      <c r="C40" s="65"/>
      <c r="D40" s="13"/>
      <c r="E40" s="75"/>
      <c r="F40" s="67"/>
      <c r="G40" s="67"/>
      <c r="H40" s="68"/>
      <c r="I40" s="111"/>
      <c r="J40" s="116"/>
      <c r="K40" s="114"/>
    </row>
    <row r="41" spans="2:21" ht="7.15" customHeight="1" thickBot="1" x14ac:dyDescent="0.3">
      <c r="E41" s="31"/>
      <c r="F41" s="31"/>
      <c r="G41" s="31"/>
      <c r="H41" s="41"/>
      <c r="I41" s="112"/>
      <c r="J41" s="112"/>
      <c r="K41" s="113"/>
    </row>
    <row r="42" spans="2:21" ht="60" x14ac:dyDescent="0.25">
      <c r="B42" s="146" t="s">
        <v>48</v>
      </c>
      <c r="C42" s="147"/>
      <c r="D42" s="147"/>
      <c r="E42" s="148"/>
      <c r="F42" s="148"/>
      <c r="G42" s="148"/>
      <c r="H42" s="149"/>
      <c r="I42" s="145"/>
      <c r="J42" s="126" t="s">
        <v>134</v>
      </c>
      <c r="K42" s="126" t="s">
        <v>126</v>
      </c>
      <c r="L42" s="130" t="s">
        <v>127</v>
      </c>
    </row>
    <row r="43" spans="2:21" x14ac:dyDescent="0.25">
      <c r="B43" s="24"/>
      <c r="C43" s="143" t="s">
        <v>135</v>
      </c>
      <c r="D43" s="194"/>
      <c r="E43" s="144">
        <v>984600000</v>
      </c>
      <c r="F43" s="144">
        <f>E43*(1-I43)</f>
        <v>813279600.00000012</v>
      </c>
      <c r="G43" s="144">
        <f>E43*(1-(0.7*E62))</f>
        <v>984600013.88078797</v>
      </c>
      <c r="H43" s="150">
        <f>G43*(1-I43)</f>
        <v>813279611.46553087</v>
      </c>
      <c r="I43" s="133">
        <v>0.17399999999999999</v>
      </c>
      <c r="J43" s="138" t="s">
        <v>19</v>
      </c>
      <c r="K43" s="139" t="s">
        <v>28</v>
      </c>
      <c r="L43" s="140" t="s">
        <v>122</v>
      </c>
      <c r="M43" s="37"/>
      <c r="N43" s="37"/>
      <c r="O43" s="37"/>
      <c r="P43" s="37"/>
      <c r="Q43" s="37"/>
      <c r="R43" s="37"/>
      <c r="S43" s="37"/>
      <c r="T43" s="37"/>
      <c r="U43" s="37"/>
    </row>
    <row r="44" spans="2:21" x14ac:dyDescent="0.25">
      <c r="B44" s="24"/>
      <c r="C44" s="143" t="s">
        <v>152</v>
      </c>
      <c r="D44" s="194"/>
      <c r="E44" s="101">
        <v>316000000</v>
      </c>
      <c r="F44" s="144">
        <f t="shared" ref="F44:F51" si="5">E44*(1-I44)</f>
        <v>243636000</v>
      </c>
      <c r="G44" s="101">
        <f t="shared" ref="G44:G52" si="6">E44*(1-E$62)</f>
        <v>316000006.36419284</v>
      </c>
      <c r="H44" s="150">
        <f t="shared" ref="H44:H52" si="7">G44*(1-I44)</f>
        <v>243636004.9067927</v>
      </c>
      <c r="I44" s="133">
        <v>0.22900000000000001</v>
      </c>
      <c r="J44" s="138" t="s">
        <v>158</v>
      </c>
      <c r="K44" s="141" t="s">
        <v>27</v>
      </c>
      <c r="L44" s="140" t="s">
        <v>122</v>
      </c>
      <c r="M44" s="37"/>
      <c r="N44" s="37"/>
      <c r="O44" s="37"/>
      <c r="P44" s="37"/>
      <c r="Q44" s="37"/>
      <c r="R44" s="37"/>
      <c r="S44" s="37"/>
      <c r="T44" s="37"/>
      <c r="U44" s="37"/>
    </row>
    <row r="45" spans="2:21" x14ac:dyDescent="0.25">
      <c r="B45" s="24"/>
      <c r="C45" s="143" t="s">
        <v>168</v>
      </c>
      <c r="D45" s="194"/>
      <c r="E45" s="101">
        <v>283333000</v>
      </c>
      <c r="F45" s="144">
        <f t="shared" si="5"/>
        <v>223549737</v>
      </c>
      <c r="G45" s="101">
        <f t="shared" si="6"/>
        <v>283333005.70628428</v>
      </c>
      <c r="H45" s="150">
        <f t="shared" si="7"/>
        <v>223549741.5022583</v>
      </c>
      <c r="I45" s="133">
        <v>0.21099999999999999</v>
      </c>
      <c r="J45" s="127" t="s">
        <v>167</v>
      </c>
      <c r="K45" s="141" t="s">
        <v>27</v>
      </c>
      <c r="L45" s="137" t="s">
        <v>151</v>
      </c>
    </row>
    <row r="46" spans="2:21" x14ac:dyDescent="0.25">
      <c r="B46" s="24"/>
      <c r="C46" s="143" t="s">
        <v>166</v>
      </c>
      <c r="D46" s="194"/>
      <c r="E46" s="101">
        <v>143333000</v>
      </c>
      <c r="F46" s="144">
        <f t="shared" si="5"/>
        <v>113089737</v>
      </c>
      <c r="G46" s="101">
        <f t="shared" si="6"/>
        <v>143333002.88670522</v>
      </c>
      <c r="H46" s="150">
        <f t="shared" si="7"/>
        <v>113089739.27761042</v>
      </c>
      <c r="I46" s="133">
        <v>0.21099999999999999</v>
      </c>
      <c r="J46" s="127" t="s">
        <v>165</v>
      </c>
      <c r="K46" s="141" t="s">
        <v>27</v>
      </c>
      <c r="L46" s="137" t="s">
        <v>151</v>
      </c>
    </row>
    <row r="47" spans="2:21" x14ac:dyDescent="0.25">
      <c r="B47" s="24"/>
      <c r="C47" s="143" t="s">
        <v>20</v>
      </c>
      <c r="D47" s="194"/>
      <c r="E47" s="101">
        <v>133333000</v>
      </c>
      <c r="F47" s="144">
        <f t="shared" si="5"/>
        <v>105199737</v>
      </c>
      <c r="G47" s="101">
        <f t="shared" si="6"/>
        <v>133333002.68530671</v>
      </c>
      <c r="H47" s="150">
        <f t="shared" si="7"/>
        <v>105199739.118707</v>
      </c>
      <c r="I47" s="133">
        <v>0.21099999999999999</v>
      </c>
      <c r="J47" s="127" t="s">
        <v>169</v>
      </c>
      <c r="K47" s="141" t="s">
        <v>27</v>
      </c>
      <c r="L47" s="137" t="s">
        <v>151</v>
      </c>
    </row>
    <row r="48" spans="2:21" x14ac:dyDescent="0.25">
      <c r="B48" s="24"/>
      <c r="C48" s="143" t="s">
        <v>159</v>
      </c>
      <c r="D48" s="194"/>
      <c r="E48" s="101">
        <v>125000000</v>
      </c>
      <c r="F48" s="144">
        <f t="shared" si="5"/>
        <v>95875000</v>
      </c>
      <c r="G48" s="101">
        <f t="shared" si="6"/>
        <v>125000002.51748133</v>
      </c>
      <c r="H48" s="150">
        <f t="shared" si="7"/>
        <v>95875001.930908173</v>
      </c>
      <c r="I48" s="133">
        <v>0.23300000000000001</v>
      </c>
      <c r="J48" s="127" t="s">
        <v>123</v>
      </c>
      <c r="K48" s="141" t="s">
        <v>27</v>
      </c>
      <c r="L48" s="138" t="s">
        <v>122</v>
      </c>
      <c r="M48" s="37"/>
      <c r="N48" s="37"/>
      <c r="O48" s="37"/>
      <c r="P48" s="37"/>
      <c r="Q48" s="37"/>
      <c r="R48" s="37"/>
      <c r="S48" s="37"/>
      <c r="T48" s="37"/>
      <c r="U48" s="37"/>
    </row>
    <row r="49" spans="2:21" x14ac:dyDescent="0.25">
      <c r="B49" s="24"/>
      <c r="C49" s="143" t="s">
        <v>160</v>
      </c>
      <c r="D49" s="194"/>
      <c r="E49" s="101">
        <v>83333000</v>
      </c>
      <c r="F49" s="144">
        <f t="shared" si="5"/>
        <v>65749737</v>
      </c>
      <c r="G49" s="101">
        <f t="shared" si="6"/>
        <v>83333001.678314179</v>
      </c>
      <c r="H49" s="150">
        <f t="shared" si="7"/>
        <v>65749738.324189894</v>
      </c>
      <c r="I49" s="133">
        <v>0.21099999999999999</v>
      </c>
      <c r="J49" s="127" t="s">
        <v>123</v>
      </c>
      <c r="K49" s="141" t="s">
        <v>27</v>
      </c>
      <c r="L49" s="137" t="s">
        <v>151</v>
      </c>
      <c r="M49" s="38"/>
      <c r="N49" s="38"/>
      <c r="O49" s="38"/>
      <c r="P49" s="38"/>
      <c r="Q49" s="38"/>
      <c r="R49" s="38"/>
      <c r="S49" s="38"/>
      <c r="T49" s="38"/>
      <c r="U49" s="38"/>
    </row>
    <row r="50" spans="2:21" x14ac:dyDescent="0.25">
      <c r="B50" s="24"/>
      <c r="C50" s="143" t="s">
        <v>164</v>
      </c>
      <c r="D50" s="194"/>
      <c r="E50" s="101">
        <v>75000000</v>
      </c>
      <c r="F50" s="144">
        <f t="shared" si="5"/>
        <v>60224999.999999993</v>
      </c>
      <c r="G50" s="101">
        <f t="shared" si="6"/>
        <v>75000001.510488808</v>
      </c>
      <c r="H50" s="150">
        <f t="shared" si="7"/>
        <v>60225001.212922506</v>
      </c>
      <c r="I50" s="133">
        <v>0.19700000000000001</v>
      </c>
      <c r="J50" s="127" t="s">
        <v>163</v>
      </c>
      <c r="K50" s="141" t="s">
        <v>27</v>
      </c>
      <c r="L50" s="138" t="s">
        <v>122</v>
      </c>
      <c r="M50" s="39"/>
      <c r="N50" s="39"/>
      <c r="O50" s="39"/>
      <c r="P50" s="39"/>
      <c r="Q50" s="39"/>
      <c r="R50" s="39"/>
      <c r="S50" s="39"/>
      <c r="T50" s="39"/>
      <c r="U50" s="39"/>
    </row>
    <row r="51" spans="2:21" x14ac:dyDescent="0.25">
      <c r="B51" s="24"/>
      <c r="C51" s="143" t="s">
        <v>162</v>
      </c>
      <c r="D51" s="194"/>
      <c r="E51" s="101">
        <v>25000000</v>
      </c>
      <c r="F51" s="144">
        <f t="shared" si="5"/>
        <v>19725000</v>
      </c>
      <c r="G51" s="101">
        <f t="shared" si="6"/>
        <v>25000000.503496267</v>
      </c>
      <c r="H51" s="150">
        <f t="shared" si="7"/>
        <v>19725000.397258554</v>
      </c>
      <c r="I51" s="133">
        <v>0.21099999999999999</v>
      </c>
      <c r="J51" s="127" t="s">
        <v>123</v>
      </c>
      <c r="K51" s="141" t="s">
        <v>27</v>
      </c>
      <c r="L51" s="137" t="s">
        <v>151</v>
      </c>
      <c r="M51" s="35"/>
      <c r="N51" s="35"/>
      <c r="O51" s="35"/>
      <c r="P51" s="35"/>
      <c r="Q51" s="35"/>
      <c r="R51" s="35"/>
      <c r="S51" s="35"/>
      <c r="T51" s="35"/>
      <c r="U51" s="35"/>
    </row>
    <row r="52" spans="2:21" ht="15.75" thickBot="1" x14ac:dyDescent="0.3">
      <c r="B52" s="25"/>
      <c r="C52" s="151" t="s">
        <v>161</v>
      </c>
      <c r="D52" s="195"/>
      <c r="E52" s="109">
        <v>16667000</v>
      </c>
      <c r="F52" s="109">
        <f>E52*(1-I52)</f>
        <v>13150263</v>
      </c>
      <c r="G52" s="109">
        <f t="shared" si="6"/>
        <v>16667000.335670892</v>
      </c>
      <c r="H52" s="152">
        <f t="shared" si="7"/>
        <v>13150263.264844334</v>
      </c>
      <c r="I52" s="133">
        <v>0.21099999999999999</v>
      </c>
      <c r="J52" s="127" t="s">
        <v>123</v>
      </c>
      <c r="K52" s="141" t="s">
        <v>27</v>
      </c>
      <c r="L52" s="137" t="s">
        <v>151</v>
      </c>
      <c r="M52" s="35"/>
      <c r="N52" s="35"/>
      <c r="O52" s="35"/>
      <c r="P52" s="35"/>
      <c r="Q52" s="35"/>
      <c r="R52" s="35"/>
      <c r="S52" s="35"/>
      <c r="T52" s="35"/>
      <c r="U52" s="35"/>
    </row>
    <row r="53" spans="2:21" ht="7.15" customHeight="1" thickBot="1" x14ac:dyDescent="0.3">
      <c r="B53" s="12"/>
      <c r="C53" s="6"/>
      <c r="D53" s="13"/>
      <c r="E53" s="46"/>
      <c r="F53" s="46"/>
      <c r="G53" s="46"/>
      <c r="H53" s="52"/>
      <c r="I53" s="112"/>
      <c r="J53" s="112"/>
      <c r="K53" s="113"/>
    </row>
    <row r="54" spans="2:21" ht="60" x14ac:dyDescent="0.25">
      <c r="B54" s="9" t="s">
        <v>49</v>
      </c>
      <c r="C54" s="14"/>
      <c r="D54" s="15"/>
      <c r="E54" s="53"/>
      <c r="F54" s="53"/>
      <c r="G54" s="53"/>
      <c r="H54" s="54"/>
      <c r="I54" s="145"/>
      <c r="J54" s="126" t="s">
        <v>134</v>
      </c>
      <c r="K54" s="126" t="s">
        <v>126</v>
      </c>
      <c r="L54" s="130" t="s">
        <v>127</v>
      </c>
    </row>
    <row r="55" spans="2:21" x14ac:dyDescent="0.25">
      <c r="B55" s="10"/>
      <c r="C55" s="4" t="s">
        <v>171</v>
      </c>
      <c r="D55" s="194"/>
      <c r="E55" s="49">
        <v>2102500000</v>
      </c>
      <c r="F55" s="49">
        <f>E55*(1-I55)</f>
        <v>1518005000</v>
      </c>
      <c r="G55" s="49">
        <f>E55*(1-(E62*0.59))</f>
        <v>2102500024.9829812</v>
      </c>
      <c r="H55" s="48">
        <f>G55*(1-I55)</f>
        <v>1518005018.0377123</v>
      </c>
      <c r="I55" s="133">
        <v>0.27800000000000002</v>
      </c>
      <c r="J55" s="127" t="s">
        <v>9</v>
      </c>
      <c r="K55" s="139" t="s">
        <v>29</v>
      </c>
      <c r="L55" s="138" t="s">
        <v>122</v>
      </c>
      <c r="M55" s="37"/>
      <c r="N55" s="37"/>
      <c r="O55" s="37"/>
      <c r="P55" s="37"/>
      <c r="Q55" s="37"/>
      <c r="R55" s="37"/>
      <c r="S55" s="37"/>
      <c r="T55" s="37"/>
      <c r="U55" s="37"/>
    </row>
    <row r="56" spans="2:21" x14ac:dyDescent="0.25">
      <c r="B56" s="10"/>
      <c r="C56" s="4" t="s">
        <v>172</v>
      </c>
      <c r="D56" s="194"/>
      <c r="E56" s="49">
        <v>702500000</v>
      </c>
      <c r="F56" s="49">
        <f>E56*(1-I56)</f>
        <v>481914999.99999994</v>
      </c>
      <c r="G56" s="49">
        <f>E56*(1-(E62*0.4))</f>
        <v>702500005.65929806</v>
      </c>
      <c r="H56" s="48">
        <f>G56*(1-I56)</f>
        <v>481915003.88227844</v>
      </c>
      <c r="I56" s="133">
        <v>0.314</v>
      </c>
      <c r="J56" s="127" t="s">
        <v>9</v>
      </c>
      <c r="K56" s="139" t="s">
        <v>121</v>
      </c>
      <c r="L56" s="138" t="s">
        <v>122</v>
      </c>
      <c r="M56" s="37"/>
      <c r="N56" s="37"/>
      <c r="O56" s="37"/>
      <c r="P56" s="37"/>
      <c r="Q56" s="37"/>
      <c r="R56" s="37"/>
      <c r="S56" s="37"/>
      <c r="T56" s="37"/>
      <c r="U56" s="37"/>
    </row>
    <row r="57" spans="2:21" ht="14.45" customHeight="1" x14ac:dyDescent="0.25">
      <c r="B57" s="10"/>
      <c r="C57" s="4" t="s">
        <v>173</v>
      </c>
      <c r="D57" s="194"/>
      <c r="E57" s="49">
        <v>503333000</v>
      </c>
      <c r="F57" s="49">
        <f>E57*(1-I57)</f>
        <v>394109739</v>
      </c>
      <c r="G57" s="49">
        <f>E57*(1-E$62)</f>
        <v>503333010.13705146</v>
      </c>
      <c r="H57" s="48">
        <f>G57*(1-I57)</f>
        <v>394109746.93731129</v>
      </c>
      <c r="I57" s="133">
        <v>0.217</v>
      </c>
      <c r="J57" s="127" t="s">
        <v>9</v>
      </c>
      <c r="K57" s="141" t="s">
        <v>27</v>
      </c>
      <c r="L57" s="138" t="s">
        <v>122</v>
      </c>
      <c r="M57" s="39"/>
      <c r="N57" s="39"/>
      <c r="O57" s="39"/>
      <c r="P57" s="39"/>
      <c r="Q57" s="39"/>
      <c r="R57" s="39"/>
      <c r="S57" s="39"/>
      <c r="T57" s="39"/>
      <c r="U57" s="39"/>
    </row>
    <row r="58" spans="2:21" x14ac:dyDescent="0.25">
      <c r="B58" s="10"/>
      <c r="C58" s="4" t="s">
        <v>174</v>
      </c>
      <c r="D58" s="194"/>
      <c r="E58" s="49">
        <v>39833000</v>
      </c>
      <c r="F58" s="49">
        <f>E58*(1-I58)</f>
        <v>29078090</v>
      </c>
      <c r="G58" s="49">
        <f>E58*(1-E$62)</f>
        <v>39833000.802230671</v>
      </c>
      <c r="H58" s="48">
        <f>G58*(1-I58)</f>
        <v>29078090.58562839</v>
      </c>
      <c r="I58" s="154">
        <v>0.27</v>
      </c>
      <c r="J58" s="153" t="s">
        <v>9</v>
      </c>
      <c r="K58" s="141" t="s">
        <v>27</v>
      </c>
      <c r="L58" s="138" t="s">
        <v>122</v>
      </c>
      <c r="M58" s="35"/>
      <c r="N58" s="35"/>
      <c r="O58" s="35"/>
      <c r="P58" s="35"/>
      <c r="Q58" s="35"/>
      <c r="R58" s="35"/>
      <c r="S58" s="35"/>
      <c r="T58" s="35"/>
      <c r="U58" s="35"/>
    </row>
    <row r="59" spans="2:21" ht="15.75" thickBot="1" x14ac:dyDescent="0.3">
      <c r="B59" s="11"/>
      <c r="C59" s="5" t="s">
        <v>175</v>
      </c>
      <c r="D59" s="195"/>
      <c r="E59" s="50">
        <v>5000000</v>
      </c>
      <c r="F59" s="50">
        <f>E59*(1-I59)</f>
        <v>0</v>
      </c>
      <c r="G59" s="51">
        <f>E59*(1-E$62)</f>
        <v>5000000.1006992534</v>
      </c>
      <c r="H59" s="51">
        <f>G59*(1-I59)</f>
        <v>0</v>
      </c>
      <c r="I59" s="155">
        <v>1</v>
      </c>
      <c r="J59" s="153" t="s">
        <v>170</v>
      </c>
      <c r="K59" s="141" t="s">
        <v>27</v>
      </c>
      <c r="L59" s="138" t="s">
        <v>122</v>
      </c>
      <c r="M59" s="35"/>
      <c r="N59" s="35"/>
      <c r="O59" s="35"/>
      <c r="P59" s="35"/>
      <c r="Q59" s="35"/>
      <c r="R59" s="35"/>
      <c r="S59" s="35"/>
      <c r="T59" s="35"/>
      <c r="U59" s="35"/>
    </row>
    <row r="60" spans="2:21" ht="6" customHeight="1" thickBot="1" x14ac:dyDescent="0.3">
      <c r="C60" s="1"/>
      <c r="D60" s="8"/>
      <c r="E60" s="2"/>
      <c r="F60" s="2"/>
      <c r="G60" s="2"/>
      <c r="H60" s="2"/>
      <c r="I60" s="113"/>
      <c r="J60" s="112"/>
      <c r="K60" s="113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2:21" ht="73.150000000000006" customHeight="1" thickBot="1" x14ac:dyDescent="0.3">
      <c r="C61" s="1"/>
      <c r="D61" s="8"/>
      <c r="E61" s="55" t="s">
        <v>33</v>
      </c>
      <c r="F61" s="55" t="s">
        <v>34</v>
      </c>
      <c r="G61" s="55" t="s">
        <v>35</v>
      </c>
      <c r="H61" s="55" t="s">
        <v>36</v>
      </c>
      <c r="I61" s="113"/>
      <c r="J61" s="117"/>
      <c r="K61" s="113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2:21" ht="15.75" thickBot="1" x14ac:dyDescent="0.3">
      <c r="B62" s="12"/>
      <c r="C62" s="87"/>
      <c r="D62" s="88" t="s">
        <v>67</v>
      </c>
      <c r="E62" s="36">
        <f>($H15-IF($D18="x",0,E18*0.06)-IF($D19="x",0,E19*0.06)-IF($D20="x",0,E20*0.0425)-IF($D21="x",0,E21*0.059)-IF($D22="x",0,800000)-IF($D23="x",0,E23*0.033))/(1+($G15-IF($D18="x",0,E18)-IF($D19="x",0,E19)-IF($D20="x",0,E20)-IF($D21="x",0,E21)-IF($D22="x",0,E22)-IF($D23="x",0,E23)+IF($D26="x",E26,0)+IF($D27="x",E27,0)+IF($D28="x",E28,0)+IF($D29="x",E29,0)+IF($D30="x",E30,0)+IF($D31="x",E31,0)+IF($D32="x",E32,0)+IF($D33="x",E33,0)+IF($D34="x",E34,0)+IF($D35="x",E35,0)+IF($D36="x",E36,0)+IF($D37="x",E37,0)+IF($D38="x",E38,0)+IF($D39="x",E39,0)))</f>
        <v>-2.0139850676059723E-8</v>
      </c>
      <c r="F62" s="36">
        <f>($H15-IF($D18="x",0,F18*0.06)-IF($D19="x",0,F19*0.06)-IF($D20="x",0,F20*0.0425)-IF($D21="x",0,F21*0.059)-IF($D22="x",0,800000)-IF($D23="x",0,F23*0.033))/(1+($G15-IF($D18="x",0,F18)-IF($D19="x",0,F19)-IF($D20="x",0,F20)-IF($D21="x",0,F21)-IF($D22="x",0,F22)-IF($D23="x",0,F23)+IF($D26="x",F26,0)+IF($D27="x",F27,0)+IF($D28="x",F28,0)+IF($D29="x",F29,0)+IF($D30="x",F30,0)+IF($D31="x",F31,0)+IF($D32="x",F32,0)+IF($D33="x",F33,0)+IF($D34="x",F34,0)+IF($D35="x",F35,0)+IF($D36="x",F36,0)+IF($D37="x",F37,0)+IF($D38="x",F38,0)+IF($D39="x",F39,0)))</f>
        <v>4.9956276289904622E-2</v>
      </c>
      <c r="G62" s="36">
        <f>($H15-IF($D18="x",0,G18*0.06)-IF($D19="x",0,G19*0.06)-IF($D20="x",0,G20*0.0425)-IF($D21="x",0,G21*0.059)-IF($D22="x",0,800000)-IF($D23="x",0,G23*0.033))/(1+($G15-IF($D18="x",0,G18)-IF($D19="x",0,G19)-IF($D20="x",0,G20)-IF($D21="x",0,G21)-IF($D22="x",0,G22)-IF($D23="x",0,G23)+IF($D26="x",G26,0)+IF($D27="x",G27,0)+IF($D28="x",G28,0)+IF($D29="x",G29,0)+IF($D30="x",G30,0)+IF($D31="x",G31,0)+IF($D32="x",G32,0)+IF($D33="x",G33,0)+IF($D34="x",G34,0)+IF($D35="x",G35,0)+IF($D36="x",G36,0)+IF($D37="x",G37,0)+IF($D38="x",G38,0)+IF($D39="x",G39,0)))</f>
        <v>5.9004406592993656E-2</v>
      </c>
      <c r="H62" s="36">
        <f>($H15-IF($D18="x",0,H18*0.06)-IF($D19="x",0,H19*0.06)-IF($D20="x",0,H20*0.0425)-IF($D21="x",0,H21*0.059)-IF($D22="x",0,800000)-IF($D23="x",0,H23*0.033))/(1+($G15-IF($D18="x",0,H18)-IF($D19="x",0,H19)-IF($D20="x",0,H20)-IF($D21="x",0,H21)-IF($D22="x",0,H22)-IF($D23="x",0,H23)+IF($D26="x",H26,0)+IF($D27="x",H27,0)+IF($D28="x",H28,0)+IF($D29="x",H29,0)+IF($D30="x",H30,0)+IF($D31="x",H31,0)+IF($D32="x",H32,0)+IF($D33="x",H33,0)+IF($D34="x",H34,0)+IF($D35="x",H35,0)+IF($D36="x",H36,0)+IF($D37="x",H37,0)+IF($D38="x",H38,0)+IF($D39="x",H39,0)))</f>
        <v>4.8956875551478922E-2</v>
      </c>
      <c r="I62" s="113"/>
      <c r="J62" s="113"/>
      <c r="K62" s="118"/>
    </row>
    <row r="63" spans="2:21" ht="15.75" thickBot="1" x14ac:dyDescent="0.3">
      <c r="B63" s="12"/>
      <c r="C63" s="87"/>
      <c r="D63" s="88" t="s">
        <v>65</v>
      </c>
      <c r="E63" s="36">
        <f>$D15/($E15+IF($D43="x",E43,0)+IF($D44="x",E44,0)+IF($D45="x",E45,0)+IF($D46="x",E46,0)+IF($D47="x",E47,0)+IF($D48="x",E48,0)+IF($D49="x",E49,0)+IF($D50="x",E50,0)+IF($D51="x",E51,0)+IF($D52="x",E52,0)+IF($D55="x",E55,0)+IF($D56="x",E56,0)+IF($D57="x",E57,0)+IF($D58="x",E58,0)+IF($D59="x",E59,0))</f>
        <v>0.06</v>
      </c>
      <c r="F63" s="36">
        <f>$D15/($E15+IF($D43="x",F43,0)+IF($D44="x",F44,0)+IF($D45="x",F45,0)+IF($D46="x",F46,0)+IF($D47="x",F47,0)+IF($D48="x",F48,0)+IF($D49="x",F49,0)+IF($D50="x",F50,0)+IF($D51="x",F51,0)+IF($D52="x",F52,0)+IF($D55="x",F55,0)+IF($D56="x",F56,0)+IF($D57="x",F57,0)+IF($D58="x",F58,0)+IF($D59="x",F59,0))</f>
        <v>0.06</v>
      </c>
      <c r="G63" s="36">
        <f>$D15/($E15+IF($D43="x",G43,0)+IF($D44="x",G44,0)+IF($D45="x",G45,0)+IF($D46="x",G46,0)+IF($D47="x",G47,0)+IF($D48="x",G48,0)+IF($D49="x",G49,0)+IF($D50="x",G50,0)+IF($D51="x",G51,0)+IF($D52="x",G52,0)+IF($D55="x",G55,0)+IF($D56="x",G56,0)+IF($D57="x",G57,0)+IF($D58="x",G58,0)+IF($D59="x",G59,0))</f>
        <v>0.06</v>
      </c>
      <c r="H63" s="36">
        <f>$D15/($E15+IF($D43="x",H43,0)+IF($D44="x",H44,0)+IF($D45="x",H45,0)+IF($D46="x",H46,0)+IF($D47="x",H47,0)+IF($D48="x",H48,0)+IF($D49="x",H49,0)+IF($D50="x",H50,0)+IF($D51="x",H51,0)+IF($D52="x",H52,0)+IF($D55="x",H55,0)+IF($D56="x",H56,0)+IF($D57="x",H57,0)+IF($D58="x",H58,0)+IF($D59="x",H59,0))</f>
        <v>0.06</v>
      </c>
      <c r="I63" s="113"/>
      <c r="J63" s="113"/>
      <c r="K63" s="118"/>
    </row>
    <row r="64" spans="2:21" ht="15.75" thickBot="1" x14ac:dyDescent="0.3">
      <c r="B64" s="12"/>
      <c r="C64" s="87"/>
      <c r="D64" s="88" t="s">
        <v>66</v>
      </c>
      <c r="E64" s="36">
        <f>($H15+$D15-IF($D18="x",0,E18*0.06)-IF($D19="x",0,E19*0.06)-IF($D20="x",0,E20*0.0425)-IF($D21="x",0,E21*0.059)-IF($D22="x",0,800000)-IF($D23="x",0,E23*0.033))/($G15+$E15-IF($D18="x",0,E18)-IF($D19="x",0,E19)-IF($D20="x",0,E20)-IF($D21="x",0,E21)-IF($D22="x",0,E22)-IF($D23="x",0,E23)+IF($D26="x",E26,0)+IF($D27="x",E27,0)+IF($D28="x",E28,0)+IF($D29="x",E29,0)+IF($D30="x",E30,0)+IF($D31="x",E31,0)+IF($D32="x",E32,0)+IF($D33="x",E33,0)+IF($D34="x",E34,0)+IF($D35="x",E35,0)+IF($D36="x",E36,0)+IF($D37="x",E37,0)+IF($D38="x",E38,0)+IF($D39="x",E39,0)+IF($D43="x",E43,0)+IF($D44="x",E44,0)+IF($D45="x",E45,0)+IF($D46="x",E46,0)+IF($D47="x",E47,0)+IF($D48="x",E48,0)+IF($D49="x",E49,0)+IF($D50="x",E50,0)+IF($D51="x",E51,0)+IF($D52="x",E52,0)+IF($D55="x",E55,0)+IF($D56="x",E56,0)+IF($D57="x",E57,0)+IF($D58="x",E58,0)+IF($D59="x",E59,0))</f>
        <v>0.06</v>
      </c>
      <c r="F64" s="36">
        <f>($H15+$D15-IF($D18="x",0,F18*0.06)-IF($D19="x",0,F19*0.06)-IF($D20="x",0,F20*0.0425)-IF($D21="x",0,F21*0.059)-IF($D22="x",0,800000)-IF($D23="x",0,F23*0.033))/($G15+$E15-IF($D18="x",0,F18)-IF($D19="x",0,F19)-IF($D20="x",0,F20)-IF($D21="x",0,F21)-IF($D22="x",0,F22)-IF($D23="x",0,F23)+IF($D26="x",F26,0)+IF($D27="x",F27,0)+IF($D28="x",F28,0)+IF($D29="x",F29,0)+IF($D30="x",F30,0)+IF($D31="x",F31,0)+IF($D32="x",F32,0)+IF($D33="x",F33,0)+IF($D34="x",F34,0)+IF($D35="x",F35,0)+IF($D36="x",F36,0)+IF($D37="x",F37,0)+IF($D38="x",F38,0)+IF($D39="x",F39,0)+IF($D43="x",F43,0)+IF($D44="x",F44,0)+IF($D45="x",F45,0)+IF($D46="x",F46,0)+IF($D47="x",F47,0)+IF($D48="x",F48,0)+IF($D49="x",F49,0)+IF($D50="x",F50,0)+IF($D51="x",F51,0)+IF($D52="x",F52,0)+IF($D55="x",F55,0)+IF($D56="x",F56,0)+IF($D57="x",F57,0)+IF($D58="x",F58,0)+IF($D59="x",F59,0))</f>
        <v>5.9621512244450392E-2</v>
      </c>
      <c r="G64" s="36">
        <f>($H15+$D15-IF($D18="x",0,G18*0.06)-IF($D19="x",0,G19*0.06)-IF($D20="x",0,G20*0.0425)-IF($D21="x",0,G21*0.059)-IF($D22="x",0,800000)-IF($D23="x",0,G23*0.033))/($G15+$E15-IF($D18="x",0,G18)-IF($D19="x",0,G19)-IF($D20="x",0,G20)-IF($D21="x",0,G21)-IF($D22="x",0,G22)-IF($D23="x",0,G23)+IF($D26="x",G26,0)+IF($D27="x",G27,0)+IF($D28="x",G28,0)+IF($D29="x",G29,0)+IF($D30="x",G30,0)+IF($D31="x",G31,0)+IF($D32="x",G32,0)+IF($D33="x",G33,0)+IF($D34="x",G34,0)+IF($D35="x",G35,0)+IF($D36="x",G36,0)+IF($D37="x",G37,0)+IF($D38="x",G38,0)+IF($D39="x",G39,0)+IF($D43="x",G43,0)+IF($D44="x",G44,0)+IF($D45="x",G45,0)+IF($D46="x",G46,0)+IF($D47="x",G47,0)+IF($D48="x",G48,0)+IF($D49="x",G49,0)+IF($D50="x",G50,0)+IF($D51="x",G51,0)+IF($D52="x",G52,0)+IF($D55="x",G55,0)+IF($D56="x",G56,0)+IF($D57="x",G57,0)+IF($D58="x",G58,0)+IF($D59="x",G59,0))</f>
        <v>6.0004228473882371E-2</v>
      </c>
      <c r="H64" s="36">
        <f>($H15+$D15-IF($D18="x",0,H18*0.06)-IF($D19="x",0,H19*0.06)-IF($D20="x",0,H20*0.0425)-IF($D21="x",0,H21*0.059)-IF($D22="x",0,800000)-IF($D23="x",0,H23*0.033))/($G15+$E15-IF($D18="x",0,H18)-IF($D19="x",0,H19)-IF($D20="x",0,H20)-IF($D21="x",0,H21)-IF($D22="x",0,H22)-IF($D23="x",0,H23)+IF($D26="x",H26,0)+IF($D27="x",H27,0)+IF($D28="x",H28,0)+IF($D29="x",H29,0)+IF($D30="x",H30,0)+IF($D31="x",H31,0)+IF($D32="x",H32,0)+IF($D33="x",H33,0)+IF($D34="x",H34,0)+IF($D35="x",H35,0)+IF($D36="x",H36,0)+IF($D37="x",H37,0)+IF($D38="x",H38,0)+IF($D39="x",H39,0)+IF($D43="x",H43,0)+IF($D44="x",H44,0)+IF($D45="x",H45,0)+IF($D46="x",H46,0)+IF($D47="x",H47,0)+IF($D48="x",H48,0)+IF($D49="x",H49,0)+IF($D50="x",H50,0)+IF($D51="x",H51,0)+IF($D52="x",H52,0)+IF($D55="x",H55,0)+IF($D56="x",H56,0)+IF($D57="x",H57,0)+IF($D58="x",H58,0)+IF($D59="x",H59,0))</f>
        <v>5.9623834068720093E-2</v>
      </c>
      <c r="I64" s="113"/>
      <c r="J64" s="119"/>
      <c r="K64" s="118"/>
    </row>
    <row r="65" spans="2:12" ht="15.75" thickBot="1" x14ac:dyDescent="0.3">
      <c r="B65" s="12"/>
      <c r="C65" s="29"/>
      <c r="D65" s="30"/>
      <c r="E65" s="22"/>
      <c r="F65" s="22"/>
      <c r="G65" s="22"/>
      <c r="H65" s="26"/>
      <c r="I65" s="113"/>
      <c r="J65" s="118"/>
      <c r="K65" s="120"/>
    </row>
    <row r="66" spans="2:12" x14ac:dyDescent="0.25">
      <c r="C66" s="27" t="s">
        <v>38</v>
      </c>
      <c r="D66" s="44"/>
      <c r="E66" s="197" t="s">
        <v>39</v>
      </c>
      <c r="F66" s="198"/>
      <c r="G66" s="197" t="s">
        <v>40</v>
      </c>
      <c r="H66" s="198"/>
      <c r="I66" s="113"/>
      <c r="J66" s="119"/>
      <c r="K66" s="113"/>
    </row>
    <row r="67" spans="2:12" x14ac:dyDescent="0.25">
      <c r="C67" s="24"/>
      <c r="D67" s="57" t="s">
        <v>4</v>
      </c>
      <c r="E67" s="89" t="s">
        <v>5</v>
      </c>
      <c r="F67" s="90" t="s">
        <v>6</v>
      </c>
      <c r="G67" s="91" t="s">
        <v>5</v>
      </c>
      <c r="H67" s="92" t="s">
        <v>6</v>
      </c>
      <c r="I67" s="113"/>
      <c r="J67" s="119"/>
      <c r="K67" s="113"/>
    </row>
    <row r="68" spans="2:12" x14ac:dyDescent="0.25">
      <c r="C68" s="24"/>
      <c r="D68" s="57" t="s">
        <v>68</v>
      </c>
      <c r="E68" s="59">
        <f>$G15-IF($D18="x",E18,0)-IF($D19="x",E19,0)-IF($D20="x",E20,0)-IF($D21="x",E21,0)-IF($D22="x",E22,0)-IF($D23="x",E23,0)</f>
        <v>3465384777</v>
      </c>
      <c r="F68" s="59">
        <f>$G15-IF($D18="x",F18,0)-IF($D19="x",F19,0)-IF($D20="x",F20,0)-IF($D21="x",F21,0)-IF($D22="x",F22,0)-IF($D23="x",F23,0)</f>
        <v>3465384777</v>
      </c>
      <c r="G68" s="59">
        <f>$G15-IF($D18="x",G18,0)-IF($D19="x",G19,0)-IF($D20="x",G20,0)-IF($D21="x",G21,0)-IF($D22="x",G22,0)-IF($D23="x",G23,0)</f>
        <v>3465384777</v>
      </c>
      <c r="H68" s="59">
        <f>$G15-IF($D18="x",H18,0)-IF($D19="x",H19,0)-IF($D20="x",H20,0)-IF($D21="x",H21,0)-IF($D22="x",H22,0)-IF($D23="x",H23,0)</f>
        <v>3465384777</v>
      </c>
      <c r="I68" s="113"/>
      <c r="J68" s="119"/>
      <c r="K68" s="113"/>
    </row>
    <row r="69" spans="2:12" x14ac:dyDescent="0.25">
      <c r="C69" s="24"/>
      <c r="D69" s="57" t="s">
        <v>69</v>
      </c>
      <c r="E69" s="59">
        <f>E18+E19+E20+E21+E22+E23-E68</f>
        <v>0</v>
      </c>
      <c r="F69" s="59">
        <f>F18+F19+F20+F21+F22+F23-F68</f>
        <v>-273765397.38299942</v>
      </c>
      <c r="G69" s="59">
        <f>G18+G19+G20+G21+G22+G23-G68</f>
        <v>29566459.4652071</v>
      </c>
      <c r="H69" s="59">
        <f>H18+H19+H20+H21+H22+H23-H68</f>
        <v>-246534688.21554518</v>
      </c>
      <c r="I69" s="113"/>
      <c r="J69" s="119"/>
      <c r="K69" s="113"/>
    </row>
    <row r="70" spans="2:12" x14ac:dyDescent="0.25">
      <c r="C70" s="24"/>
      <c r="D70" s="57" t="s">
        <v>64</v>
      </c>
      <c r="E70" s="59">
        <f>E69+IF($D26="x",E26,0)+IF($D27="x",E27,0)+IF($D28="x",E28,0)+IF($D29="x",E29,0)+IF($D30="x",E30,0)+IF($D31="x",E31,0)+IF($D32="x",E32,0)+IF($D33="x",E33,0)+IF($D34="x",E34,0)+IF($D35="x",E35,0)+IF($D36="x",E36,0)+IF($D37="x",E37,0)+IF($D38="x",E38,0)+IF($D39="x",E39,0)</f>
        <v>0</v>
      </c>
      <c r="F70" s="59">
        <f>F69+IF($D26="x",F26,0)+IF($D27="x",F27,0)+IF($D28="x",F28,0)+IF($D29="x",F29,0)+IF($D30="x",F30,0)+IF($D31="x",F31,0)+IF($D32="x",F32,0)+IF($D33="x",F33,0)+IF($D34="x",F34,0)+IF($D35="x",F35,0)+IF($D36="x",F36,0)+IF($D37="x",F37,0)+IF($D38="x",F38,0)+IF($D39="x",F39,0)</f>
        <v>-273765397.38299942</v>
      </c>
      <c r="G70" s="59">
        <f>G69+IF($D26="x",G26,0)+IF($D27="x",G27,0)+IF($D28="x",G28,0)+IF($D29="x",G29,0)+IF($D30="x",G30,0)+IF($D31="x",G31,0)+IF($D32="x",G32,0)+IF($D33="x",G33,0)+IF($D34="x",G34,0)+IF($D35="x",G35,0)+IF($D36="x",G36,0)+IF($D37="x",G37,0)+IF($D38="x",G38,0)+IF($D39="x",G39,0)</f>
        <v>29566459.4652071</v>
      </c>
      <c r="H70" s="59">
        <f>H69+IF($D26="x",H26,0)+IF($D27="x",H27,0)+IF($D28="x",H28,0)+IF($D29="x",H29,0)+IF($D30="x",H30,0)+IF($D31="x",H31,0)+IF($D32="x",H32,0)+IF($D33="x",H33,0)+IF($D34="x",H34,0)+IF($D35="x",H35,0)+IF($D36="x",H36,0)+IF($D37="x",H37,0)+IF($D38="x",H38,0)+IF($D39="x",H39,0)</f>
        <v>-246534688.21554518</v>
      </c>
      <c r="I70" s="113"/>
      <c r="J70" s="113"/>
      <c r="K70" s="119"/>
      <c r="L70" s="2"/>
    </row>
    <row r="71" spans="2:12" x14ac:dyDescent="0.25">
      <c r="C71" s="24"/>
      <c r="D71" s="57" t="s">
        <v>62</v>
      </c>
      <c r="E71" s="59">
        <f>E15</f>
        <v>6990997920.3900003</v>
      </c>
      <c r="F71" s="60">
        <f>E15</f>
        <v>6990997920.3900003</v>
      </c>
      <c r="G71" s="56">
        <f>F15</f>
        <v>6993643927.5019417</v>
      </c>
      <c r="H71" s="60">
        <f>F15</f>
        <v>6993643927.5019417</v>
      </c>
      <c r="I71" s="113"/>
      <c r="J71" s="119"/>
      <c r="K71" s="113"/>
    </row>
    <row r="72" spans="2:12" x14ac:dyDescent="0.25">
      <c r="C72" s="24"/>
      <c r="D72" s="57" t="s">
        <v>63</v>
      </c>
      <c r="E72" s="59">
        <f>$E71+IF($D43="x",E43,0)+IF($D44="x",E44,0)+IF($D45="x",E45,0)+IF($D46="x",E46,0)+IF($D47="x",E47,0)+IF($D48="x",E48,0)+IF($D49="x",E49,0)+IF($D50="x",E50,0)+IF($D51="x",E51,0)+IF($D52="x",E52,0)+IF($D55="x",E55,0)+IF($D56="x",E56,0)+IF($D57="x",E57,0)+IF($D58="x",E58,0)+IF($D59="x",E59,0)</f>
        <v>6990997920.3900003</v>
      </c>
      <c r="F72" s="59">
        <f>$E71+IF($D43="x",F43,0)+IF($D44="x",F44,0)+IF($D45="x",F45,0)+IF($D46="x",F46,0)+IF($D47="x",F47,0)+IF($D48="x",F48,0)+IF($D49="x",F49,0)+IF($D50="x",F50,0)+IF($D51="x",F51,0)+IF($D52="x",F52,0)+IF($D55="x",F55,0)+IF($D56="x",F56,0)+IF($D57="x",F57,0)+IF($D58="x",F58,0)+IF($D59="x",F59,0)</f>
        <v>6990997920.3900003</v>
      </c>
      <c r="G72" s="59">
        <f>$E71+IF($D43="x",G43,0)+IF($D44="x",G44,0)+IF($D45="x",G45,0)+IF($D46="x",G46,0)+IF($D47="x",G47,0)+IF($D48="x",G48,0)+IF($D49="x",G49,0)+IF($D50="x",G50,0)+IF($D51="x",G51,0)+IF($D52="x",G52,0)+IF($D55="x",G55,0)+IF($D56="x",G56,0)+IF($D57="x",G57,0)+IF($D58="x",G58,0)+IF($D59="x",G59,0)</f>
        <v>6990997920.3900003</v>
      </c>
      <c r="H72" s="59">
        <f>$E71+IF($D43="x",H43,0)+IF($D44="x",H44,0)+IF($D45="x",H45,0)+IF($D46="x",H46,0)+IF($D47="x",H47,0)+IF($D48="x",H48,0)+IF($D49="x",H49,0)+IF($D50="x",H50,0)+IF($D51="x",H51,0)+IF($D52="x",H52,0)+IF($D55="x",H55,0)+IF($D56="x",H56,0)+IF($D57="x",H57,0)+IF($D58="x",H58,0)+IF($D59="x",H59,0)</f>
        <v>6990997920.3900003</v>
      </c>
      <c r="I72" s="113"/>
      <c r="J72" s="121"/>
      <c r="K72" s="119"/>
      <c r="L72" s="2"/>
    </row>
    <row r="73" spans="2:12" x14ac:dyDescent="0.25">
      <c r="C73" s="24"/>
      <c r="D73" s="57" t="s">
        <v>70</v>
      </c>
      <c r="E73" s="59">
        <f>E70+E72</f>
        <v>6990997920.3900003</v>
      </c>
      <c r="F73" s="59">
        <f>F70+F72</f>
        <v>6717232523.0070009</v>
      </c>
      <c r="G73" s="59">
        <f t="shared" ref="G73:H73" si="8">G70+G72</f>
        <v>7020564379.8552074</v>
      </c>
      <c r="H73" s="59">
        <f t="shared" si="8"/>
        <v>6744463232.1744556</v>
      </c>
      <c r="I73" s="113"/>
      <c r="J73" s="119"/>
      <c r="K73" s="119"/>
      <c r="L73" s="2"/>
    </row>
    <row r="74" spans="2:12" x14ac:dyDescent="0.25">
      <c r="C74" s="24"/>
      <c r="D74" s="57" t="s">
        <v>2</v>
      </c>
      <c r="E74" s="196">
        <v>3.6999999999999998E-2</v>
      </c>
      <c r="F74" s="61">
        <f>E74</f>
        <v>3.6999999999999998E-2</v>
      </c>
      <c r="G74" s="62">
        <f>E74</f>
        <v>3.6999999999999998E-2</v>
      </c>
      <c r="H74" s="63">
        <f>E74</f>
        <v>3.6999999999999998E-2</v>
      </c>
      <c r="I74" s="113"/>
      <c r="J74" s="122"/>
      <c r="K74" s="119"/>
      <c r="L74" s="2"/>
    </row>
    <row r="75" spans="2:12" ht="15.75" thickBot="1" x14ac:dyDescent="0.3">
      <c r="C75" s="25"/>
      <c r="D75" s="58" t="s">
        <v>3</v>
      </c>
      <c r="E75" s="64">
        <f>(E73*E74)-$D15-IF($D18="x",E18*0.06,0)-IF($D19="x",E19*0.06,0)-IF($D20="x",E20*0.0425,0)-IF($D21="x",E21*0.059,0)-IF($D22="x",800000,0)-IF($D23="x",E23*0.033,0)</f>
        <v>-160792952.16896999</v>
      </c>
      <c r="F75" s="64">
        <f>(F73*F74)-$D15-IF($D18="x",F18*0.06,0)-IF($D19="x",F19*0.06,0)-IF($D20="x",F20*0.0425,0)-IF($D21="x",F21*0.059,0)-IF($D22="x",800000,0)-IF($D23="x",F23*0.033,0)</f>
        <v>-170922271.87214097</v>
      </c>
      <c r="G75" s="64">
        <f>(G73*G74)-$D15-IF($D18="x",G18*0.06,0)-IF($D19="x",G19*0.06,0)-IF($D20="x",G20*0.0425,0)-IF($D21="x",G21*0.059,0)-IF($D22="x",800000,0)-IF($D23="x",G23*0.033,0)</f>
        <v>-159698993.16875732</v>
      </c>
      <c r="H75" s="64">
        <f>(H73*H74)-$D15-IF($D18="x",H18*0.06,0)-IF($D19="x",H19*0.06,0)-IF($D20="x",H20*0.0425,0)-IF($D21="x",H21*0.059,0)-IF($D22="x",800000,0)-IF($D23="x",H23*0.033,0)</f>
        <v>-169914735.63294515</v>
      </c>
      <c r="I75" s="113"/>
      <c r="J75" s="119"/>
      <c r="K75" s="113"/>
    </row>
    <row r="76" spans="2:12" x14ac:dyDescent="0.25">
      <c r="C76" s="19"/>
      <c r="D76" s="2"/>
      <c r="G76" s="21"/>
    </row>
    <row r="77" spans="2:12" ht="15.75" x14ac:dyDescent="0.25">
      <c r="B77" s="16" t="s">
        <v>1</v>
      </c>
      <c r="D77" s="2"/>
      <c r="E77" s="2"/>
      <c r="F77" s="21"/>
      <c r="K77" s="123"/>
    </row>
    <row r="78" spans="2:12" ht="15.75" x14ac:dyDescent="0.25">
      <c r="B78" s="43" t="s">
        <v>14</v>
      </c>
      <c r="D78" s="2"/>
      <c r="E78" s="21"/>
      <c r="F78" s="21"/>
      <c r="G78" s="86"/>
      <c r="K78" s="123"/>
    </row>
    <row r="79" spans="2:12" ht="15.75" x14ac:dyDescent="0.25">
      <c r="B79" s="33" t="s">
        <v>153</v>
      </c>
      <c r="D79" s="2"/>
      <c r="E79" s="21"/>
      <c r="F79" s="21"/>
      <c r="K79" s="123"/>
    </row>
    <row r="80" spans="2:12" ht="15.75" x14ac:dyDescent="0.25">
      <c r="B80" s="33"/>
      <c r="C80" t="s">
        <v>129</v>
      </c>
      <c r="D80" s="2"/>
      <c r="E80" s="21"/>
      <c r="F80" s="21"/>
      <c r="K80" s="123"/>
    </row>
    <row r="81" spans="2:11" ht="15.75" x14ac:dyDescent="0.25">
      <c r="B81" s="33" t="s">
        <v>125</v>
      </c>
      <c r="D81" s="2"/>
      <c r="E81" s="21"/>
      <c r="F81" s="21"/>
      <c r="K81" s="123"/>
    </row>
    <row r="82" spans="2:11" x14ac:dyDescent="0.25">
      <c r="C82" t="s">
        <v>128</v>
      </c>
      <c r="H82"/>
    </row>
    <row r="83" spans="2:11" x14ac:dyDescent="0.25">
      <c r="C83" t="s">
        <v>129</v>
      </c>
      <c r="H83"/>
    </row>
    <row r="84" spans="2:11" ht="15.75" x14ac:dyDescent="0.25">
      <c r="B84" t="s">
        <v>120</v>
      </c>
      <c r="K84" s="123"/>
    </row>
    <row r="85" spans="2:11" x14ac:dyDescent="0.25">
      <c r="B85" t="s">
        <v>130</v>
      </c>
    </row>
    <row r="86" spans="2:11" x14ac:dyDescent="0.25">
      <c r="B86" t="s">
        <v>154</v>
      </c>
    </row>
    <row r="87" spans="2:11" x14ac:dyDescent="0.25">
      <c r="B87" t="s">
        <v>155</v>
      </c>
    </row>
    <row r="88" spans="2:11" x14ac:dyDescent="0.25">
      <c r="C88" s="32" t="s">
        <v>156</v>
      </c>
    </row>
    <row r="89" spans="2:11" x14ac:dyDescent="0.25">
      <c r="B89" t="s">
        <v>136</v>
      </c>
    </row>
    <row r="90" spans="2:11" x14ac:dyDescent="0.25">
      <c r="C90" t="s">
        <v>26</v>
      </c>
    </row>
    <row r="91" spans="2:11" x14ac:dyDescent="0.25">
      <c r="B91" t="s">
        <v>137</v>
      </c>
    </row>
    <row r="92" spans="2:11" x14ac:dyDescent="0.25">
      <c r="B92" t="s">
        <v>138</v>
      </c>
    </row>
    <row r="93" spans="2:11" x14ac:dyDescent="0.25">
      <c r="B93" t="s">
        <v>139</v>
      </c>
    </row>
    <row r="94" spans="2:11" x14ac:dyDescent="0.25">
      <c r="B94" t="s">
        <v>157</v>
      </c>
    </row>
    <row r="95" spans="2:11" x14ac:dyDescent="0.25">
      <c r="B95" t="s">
        <v>140</v>
      </c>
    </row>
    <row r="96" spans="2:11" x14ac:dyDescent="0.25">
      <c r="B96" t="s">
        <v>141</v>
      </c>
    </row>
    <row r="97" spans="2:3" x14ac:dyDescent="0.25">
      <c r="B97" t="s">
        <v>142</v>
      </c>
    </row>
    <row r="98" spans="2:3" x14ac:dyDescent="0.25">
      <c r="B98" t="s">
        <v>143</v>
      </c>
    </row>
    <row r="99" spans="2:3" x14ac:dyDescent="0.25">
      <c r="B99" s="33" t="s">
        <v>144</v>
      </c>
    </row>
    <row r="100" spans="2:3" x14ac:dyDescent="0.25">
      <c r="B100" s="33" t="s">
        <v>145</v>
      </c>
    </row>
    <row r="101" spans="2:3" x14ac:dyDescent="0.25">
      <c r="B101" t="s">
        <v>146</v>
      </c>
    </row>
    <row r="102" spans="2:3" x14ac:dyDescent="0.25">
      <c r="B102" t="s">
        <v>147</v>
      </c>
    </row>
    <row r="103" spans="2:3" x14ac:dyDescent="0.25">
      <c r="B103" t="s">
        <v>148</v>
      </c>
    </row>
    <row r="104" spans="2:3" x14ac:dyDescent="0.25">
      <c r="B104" t="s">
        <v>149</v>
      </c>
    </row>
    <row r="105" spans="2:3" x14ac:dyDescent="0.25">
      <c r="B105" t="s">
        <v>150</v>
      </c>
    </row>
    <row r="108" spans="2:3" x14ac:dyDescent="0.25">
      <c r="C108" s="32"/>
    </row>
    <row r="109" spans="2:3" x14ac:dyDescent="0.25">
      <c r="C109" s="32"/>
    </row>
    <row r="112" spans="2:3" x14ac:dyDescent="0.25">
      <c r="B112" s="34"/>
    </row>
  </sheetData>
  <sheetProtection algorithmName="SHA-512" hashValue="7qQP3cWlc5e5OIof791j09CRiGFFicKzOQw0pXk+X7tALW/1q3ybbrWFsFxCLeHQs3Ewf6+mSORA9PqV/4KNgA==" saltValue="w5gjVwRLBihS/cR7lgnLbw==" spinCount="100000" sheet="1" objects="1" scenarios="1"/>
  <mergeCells count="8">
    <mergeCell ref="E66:F66"/>
    <mergeCell ref="G66:H66"/>
    <mergeCell ref="B23:C23"/>
    <mergeCell ref="B22:C22"/>
    <mergeCell ref="B18:C18"/>
    <mergeCell ref="B19:C19"/>
    <mergeCell ref="B20:C20"/>
    <mergeCell ref="B21:C21"/>
  </mergeCells>
  <phoneticPr fontId="3" type="noConversion"/>
  <hyperlinks>
    <hyperlink ref="C88" r:id="rId1" xr:uid="{9FEDDECF-CFB0-44A7-A22B-AFE0A5E08F0B}"/>
  </hyperlinks>
  <pageMargins left="0.7" right="0.7" top="0.75" bottom="0.75" header="0.3" footer="0.3"/>
  <ignoredErrors>
    <ignoredError sqref="G18 G19 G20 G21 G22 G23 G26 G27:G3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64202-4473-4FF8-95A3-1758C397AB2D}">
  <dimension ref="B1:W68"/>
  <sheetViews>
    <sheetView workbookViewId="0">
      <selection activeCell="E33" sqref="E33 E31"/>
    </sheetView>
  </sheetViews>
  <sheetFormatPr defaultRowHeight="15" x14ac:dyDescent="0.25"/>
  <cols>
    <col min="1" max="1" width="2.42578125" customWidth="1"/>
    <col min="2" max="2" width="43.7109375" customWidth="1"/>
    <col min="3" max="3" width="18.5703125" style="31" customWidth="1"/>
    <col min="4" max="4" width="14.5703125" bestFit="1" customWidth="1"/>
    <col min="5" max="6" width="12.42578125" bestFit="1" customWidth="1"/>
    <col min="7" max="7" width="14.28515625" customWidth="1"/>
    <col min="8" max="8" width="12.42578125" bestFit="1" customWidth="1"/>
    <col min="9" max="9" width="13.28515625" customWidth="1"/>
  </cols>
  <sheetData>
    <row r="1" spans="2:13" x14ac:dyDescent="0.25">
      <c r="B1" s="7" t="s">
        <v>176</v>
      </c>
    </row>
    <row r="3" spans="2:13" x14ac:dyDescent="0.25">
      <c r="B3" s="142" t="s">
        <v>177</v>
      </c>
      <c r="C3" s="175" t="s">
        <v>178</v>
      </c>
      <c r="D3" s="176" t="s">
        <v>86</v>
      </c>
    </row>
    <row r="4" spans="2:13" x14ac:dyDescent="0.25">
      <c r="B4" s="100" t="s">
        <v>12</v>
      </c>
      <c r="C4" s="159">
        <v>623989</v>
      </c>
      <c r="D4" s="164" t="s">
        <v>97</v>
      </c>
      <c r="E4" s="165"/>
      <c r="F4" s="166"/>
    </row>
    <row r="5" spans="2:13" x14ac:dyDescent="0.25">
      <c r="B5" s="100" t="s">
        <v>13</v>
      </c>
      <c r="C5" s="101">
        <v>6439000000</v>
      </c>
      <c r="D5" s="161" t="s">
        <v>98</v>
      </c>
      <c r="E5" s="162"/>
      <c r="F5" s="162"/>
      <c r="G5" s="162"/>
      <c r="H5" s="162"/>
      <c r="I5" s="162"/>
      <c r="J5" s="162"/>
      <c r="K5" s="162"/>
      <c r="L5" s="162"/>
      <c r="M5" s="163"/>
    </row>
    <row r="6" spans="2:13" x14ac:dyDescent="0.25">
      <c r="B6" s="100" t="s">
        <v>89</v>
      </c>
      <c r="C6" s="127">
        <v>260029</v>
      </c>
      <c r="D6" s="167" t="s">
        <v>90</v>
      </c>
      <c r="E6" s="168"/>
      <c r="F6" s="166"/>
    </row>
    <row r="7" spans="2:13" x14ac:dyDescent="0.25">
      <c r="B7" s="100" t="s">
        <v>181</v>
      </c>
      <c r="C7" s="157">
        <f>C4/C6</f>
        <v>2.3996900345730667</v>
      </c>
      <c r="D7" s="161" t="s">
        <v>91</v>
      </c>
      <c r="E7" s="162"/>
      <c r="F7" s="162"/>
      <c r="G7" s="163"/>
    </row>
    <row r="8" spans="2:13" x14ac:dyDescent="0.25">
      <c r="B8" s="158" t="s">
        <v>92</v>
      </c>
      <c r="C8" s="102">
        <v>17240</v>
      </c>
      <c r="D8" s="161" t="s">
        <v>94</v>
      </c>
      <c r="E8" s="169"/>
      <c r="F8" s="170"/>
      <c r="G8" s="42"/>
    </row>
    <row r="9" spans="2:13" x14ac:dyDescent="0.25">
      <c r="B9" s="158" t="s">
        <v>93</v>
      </c>
      <c r="C9" s="102">
        <v>21720</v>
      </c>
      <c r="D9" s="161" t="s">
        <v>94</v>
      </c>
      <c r="E9" s="171"/>
      <c r="F9" s="172"/>
      <c r="G9" s="18"/>
      <c r="H9" s="18"/>
    </row>
    <row r="10" spans="2:13" x14ac:dyDescent="0.25">
      <c r="B10" s="158" t="s">
        <v>101</v>
      </c>
      <c r="C10" s="101">
        <f>C8+(0.4*(C9-C8))</f>
        <v>19032</v>
      </c>
      <c r="D10" s="161" t="s">
        <v>96</v>
      </c>
      <c r="E10" s="162"/>
      <c r="F10" s="163"/>
    </row>
    <row r="11" spans="2:13" x14ac:dyDescent="0.25">
      <c r="B11" s="17" t="s">
        <v>102</v>
      </c>
      <c r="C11" s="101">
        <f>C10*2.5</f>
        <v>47580</v>
      </c>
      <c r="D11" s="161" t="s">
        <v>95</v>
      </c>
      <c r="E11" s="171"/>
      <c r="F11" s="172"/>
      <c r="G11" s="18"/>
    </row>
    <row r="12" spans="2:13" x14ac:dyDescent="0.25">
      <c r="B12" s="96"/>
      <c r="C12" s="20"/>
      <c r="E12" s="18"/>
      <c r="F12" s="18"/>
      <c r="G12" s="18"/>
    </row>
    <row r="13" spans="2:13" x14ac:dyDescent="0.25">
      <c r="B13" s="173" t="s">
        <v>179</v>
      </c>
      <c r="C13" s="174"/>
      <c r="D13" s="161" t="s">
        <v>85</v>
      </c>
      <c r="E13" s="171"/>
      <c r="F13" s="171"/>
      <c r="G13" s="171"/>
      <c r="H13" s="162"/>
      <c r="I13" s="163"/>
    </row>
    <row r="14" spans="2:13" x14ac:dyDescent="0.25">
      <c r="B14" s="100" t="s">
        <v>73</v>
      </c>
      <c r="C14" s="127">
        <v>260029</v>
      </c>
      <c r="E14" s="18"/>
      <c r="F14" s="18"/>
      <c r="G14" s="18"/>
    </row>
    <row r="15" spans="2:13" x14ac:dyDescent="0.25">
      <c r="B15" s="100" t="s">
        <v>74</v>
      </c>
      <c r="C15" s="127">
        <v>12556</v>
      </c>
      <c r="E15" s="18"/>
      <c r="F15" s="18"/>
      <c r="G15" s="18"/>
    </row>
    <row r="16" spans="2:13" x14ac:dyDescent="0.25">
      <c r="B16" s="100" t="s">
        <v>75</v>
      </c>
      <c r="C16" s="127">
        <v>13033</v>
      </c>
      <c r="E16" s="18"/>
      <c r="F16" s="18"/>
      <c r="G16" s="18"/>
    </row>
    <row r="17" spans="2:23" x14ac:dyDescent="0.25">
      <c r="B17" s="100" t="s">
        <v>76</v>
      </c>
      <c r="C17" s="127">
        <v>23752</v>
      </c>
      <c r="E17" s="18"/>
      <c r="F17" s="18"/>
      <c r="G17" s="18"/>
    </row>
    <row r="18" spans="2:23" x14ac:dyDescent="0.25">
      <c r="B18" s="100" t="s">
        <v>77</v>
      </c>
      <c r="C18" s="127">
        <v>23658</v>
      </c>
      <c r="E18" s="18"/>
      <c r="F18" s="18"/>
      <c r="G18" s="18"/>
    </row>
    <row r="19" spans="2:23" x14ac:dyDescent="0.25">
      <c r="B19" s="100" t="s">
        <v>78</v>
      </c>
      <c r="C19" s="127">
        <v>31766</v>
      </c>
      <c r="E19" s="18"/>
      <c r="F19" s="18"/>
      <c r="G19" s="18"/>
    </row>
    <row r="20" spans="2:23" x14ac:dyDescent="0.25">
      <c r="B20" s="100" t="s">
        <v>79</v>
      </c>
      <c r="C20" s="127">
        <v>48498</v>
      </c>
      <c r="E20" s="18"/>
      <c r="F20" s="18"/>
      <c r="G20" s="18"/>
    </row>
    <row r="21" spans="2:23" x14ac:dyDescent="0.25">
      <c r="B21" s="100" t="s">
        <v>80</v>
      </c>
      <c r="C21" s="127">
        <v>36356</v>
      </c>
      <c r="E21" s="18"/>
      <c r="F21" s="18"/>
      <c r="G21" s="18"/>
    </row>
    <row r="22" spans="2:23" x14ac:dyDescent="0.25">
      <c r="B22" s="100" t="s">
        <v>81</v>
      </c>
      <c r="C22" s="127">
        <v>41524</v>
      </c>
      <c r="E22" s="18"/>
      <c r="F22" s="18"/>
      <c r="G22" s="18"/>
    </row>
    <row r="23" spans="2:23" x14ac:dyDescent="0.25">
      <c r="B23" s="100" t="s">
        <v>82</v>
      </c>
      <c r="C23" s="127">
        <v>14643</v>
      </c>
      <c r="E23" s="18"/>
      <c r="F23" s="18"/>
      <c r="G23" s="18"/>
    </row>
    <row r="24" spans="2:23" x14ac:dyDescent="0.25">
      <c r="B24" s="100" t="s">
        <v>83</v>
      </c>
      <c r="C24" s="127">
        <v>14243</v>
      </c>
      <c r="E24" s="18"/>
      <c r="F24" s="18"/>
      <c r="G24" s="18"/>
    </row>
    <row r="25" spans="2:23" x14ac:dyDescent="0.25">
      <c r="B25" s="100" t="s">
        <v>84</v>
      </c>
      <c r="C25" s="101">
        <v>61973</v>
      </c>
      <c r="E25" s="18"/>
      <c r="F25" s="18"/>
      <c r="G25" s="18"/>
    </row>
    <row r="26" spans="2:23" x14ac:dyDescent="0.25">
      <c r="E26" s="18"/>
      <c r="F26" s="18"/>
      <c r="G26" s="18"/>
    </row>
    <row r="27" spans="2:23" x14ac:dyDescent="0.25">
      <c r="B27" t="s">
        <v>180</v>
      </c>
      <c r="E27" s="18"/>
      <c r="F27" s="18"/>
      <c r="G27" s="18"/>
    </row>
    <row r="28" spans="2:23" x14ac:dyDescent="0.25">
      <c r="B28" s="96"/>
      <c r="C28" s="20"/>
      <c r="E28" s="18"/>
      <c r="F28" s="18"/>
      <c r="G28" s="18"/>
    </row>
    <row r="29" spans="2:23" x14ac:dyDescent="0.25">
      <c r="B29" s="96"/>
      <c r="D29" s="175" t="s">
        <v>71</v>
      </c>
      <c r="E29" s="175" t="s">
        <v>72</v>
      </c>
      <c r="F29" s="175" t="s">
        <v>88</v>
      </c>
      <c r="G29" s="176" t="s">
        <v>86</v>
      </c>
    </row>
    <row r="30" spans="2:23" x14ac:dyDescent="0.25">
      <c r="B30" s="177"/>
      <c r="C30" s="179" t="s">
        <v>103</v>
      </c>
      <c r="D30" s="101">
        <f>1.38*C10</f>
        <v>26264.159999999996</v>
      </c>
      <c r="E30" s="101">
        <f>2*C10</f>
        <v>38064</v>
      </c>
      <c r="F30" s="101">
        <f>2.5*C10</f>
        <v>47580</v>
      </c>
      <c r="G30" s="180" t="s">
        <v>105</v>
      </c>
      <c r="H30" s="166"/>
    </row>
    <row r="31" spans="2:23" x14ac:dyDescent="0.25">
      <c r="B31" s="161"/>
      <c r="C31" s="179" t="s">
        <v>100</v>
      </c>
      <c r="D31" s="156">
        <f>C15+C16+C17+((1/10)*C18)</f>
        <v>51706.8</v>
      </c>
      <c r="E31" s="156">
        <f>(0.9*C18)+((2/15)*C19)</f>
        <v>25527.666666666668</v>
      </c>
      <c r="F31" s="156">
        <f>0.8*C19</f>
        <v>25412.800000000003</v>
      </c>
      <c r="G31" s="164" t="s">
        <v>107</v>
      </c>
      <c r="H31" s="165"/>
      <c r="I31" s="165"/>
      <c r="J31" s="165"/>
      <c r="K31" s="166"/>
    </row>
    <row r="32" spans="2:23" x14ac:dyDescent="0.25">
      <c r="B32" s="161"/>
      <c r="C32" s="179" t="s">
        <v>99</v>
      </c>
      <c r="D32" s="80">
        <v>1110</v>
      </c>
      <c r="E32" s="80">
        <v>2680</v>
      </c>
      <c r="F32" s="80">
        <v>3410</v>
      </c>
      <c r="G32" s="184" t="s">
        <v>106</v>
      </c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3"/>
    </row>
    <row r="33" spans="2:11" x14ac:dyDescent="0.25">
      <c r="B33" s="161"/>
      <c r="C33" s="179" t="s">
        <v>104</v>
      </c>
      <c r="D33" s="80">
        <f>D32*2.4</f>
        <v>2664</v>
      </c>
      <c r="E33" s="80">
        <f t="shared" ref="E33:F33" si="0">E32*2.4</f>
        <v>6432</v>
      </c>
      <c r="F33" s="80">
        <f t="shared" si="0"/>
        <v>8184</v>
      </c>
      <c r="G33" s="182" t="s">
        <v>108</v>
      </c>
      <c r="H33" s="160"/>
      <c r="I33" s="183"/>
    </row>
    <row r="34" spans="2:11" x14ac:dyDescent="0.25">
      <c r="B34" s="161"/>
      <c r="C34" s="179" t="s">
        <v>111</v>
      </c>
      <c r="D34" s="80">
        <f>D33*D31</f>
        <v>137746915.20000002</v>
      </c>
      <c r="E34" s="80">
        <f t="shared" ref="E34:F34" si="1">E33*E31</f>
        <v>164193952</v>
      </c>
      <c r="F34" s="80">
        <f t="shared" si="1"/>
        <v>207978355.20000002</v>
      </c>
      <c r="G34" s="161" t="s">
        <v>109</v>
      </c>
      <c r="H34" s="162"/>
      <c r="I34" s="181"/>
      <c r="J34" s="31"/>
    </row>
    <row r="35" spans="2:11" x14ac:dyDescent="0.25">
      <c r="I35" s="31"/>
      <c r="J35" s="31"/>
    </row>
    <row r="36" spans="2:11" x14ac:dyDescent="0.25">
      <c r="B36" s="161"/>
      <c r="C36" s="186"/>
      <c r="D36" s="162"/>
      <c r="E36" s="178" t="s">
        <v>110</v>
      </c>
      <c r="F36" s="80">
        <f>D34+E34+F34</f>
        <v>509919222.4000001</v>
      </c>
      <c r="G36" s="161" t="s">
        <v>113</v>
      </c>
      <c r="H36" s="162"/>
      <c r="I36" s="181"/>
      <c r="J36" s="31"/>
    </row>
    <row r="37" spans="2:11" x14ac:dyDescent="0.25">
      <c r="I37" s="95"/>
      <c r="J37" s="95"/>
    </row>
    <row r="38" spans="2:11" x14ac:dyDescent="0.25">
      <c r="B38" s="161"/>
      <c r="C38" s="186"/>
      <c r="D38" s="162"/>
      <c r="E38" s="187" t="s">
        <v>112</v>
      </c>
      <c r="F38" s="188">
        <f>F36/C5</f>
        <v>7.919230041931978E-2</v>
      </c>
      <c r="G38" s="161" t="s">
        <v>114</v>
      </c>
      <c r="H38" s="162"/>
      <c r="I38" s="185"/>
      <c r="J38" s="185"/>
      <c r="K38" s="163"/>
    </row>
    <row r="40" spans="2:11" x14ac:dyDescent="0.25">
      <c r="E40" s="31"/>
    </row>
    <row r="41" spans="2:11" x14ac:dyDescent="0.25">
      <c r="G41" s="97"/>
    </row>
    <row r="42" spans="2:11" x14ac:dyDescent="0.25">
      <c r="E42" s="31"/>
    </row>
    <row r="43" spans="2:11" x14ac:dyDescent="0.25">
      <c r="I43" s="31"/>
    </row>
    <row r="60" spans="2:3" x14ac:dyDescent="0.25">
      <c r="C60" s="31" t="s">
        <v>86</v>
      </c>
    </row>
    <row r="61" spans="2:3" x14ac:dyDescent="0.25">
      <c r="B61" t="s">
        <v>87</v>
      </c>
    </row>
    <row r="63" spans="2:3" x14ac:dyDescent="0.25">
      <c r="B63" t="s">
        <v>23</v>
      </c>
    </row>
    <row r="64" spans="2:3" x14ac:dyDescent="0.25">
      <c r="B64" t="s">
        <v>21</v>
      </c>
    </row>
    <row r="65" spans="2:2" x14ac:dyDescent="0.25">
      <c r="B65" t="s">
        <v>24</v>
      </c>
    </row>
    <row r="66" spans="2:2" x14ac:dyDescent="0.25">
      <c r="B66" t="s">
        <v>22</v>
      </c>
    </row>
    <row r="67" spans="2:2" x14ac:dyDescent="0.25">
      <c r="B67" t="s">
        <v>25</v>
      </c>
    </row>
    <row r="68" spans="2:2" x14ac:dyDescent="0.25">
      <c r="B68" t="s">
        <v>41</v>
      </c>
    </row>
  </sheetData>
  <sheetProtection algorithmName="SHA-512" hashValue="36ileKPQ4mxo3VT6AF81TDpsyc1dG3/esD+rBT+HA7ClPg0SnSeYHCtsTyGRWa+O0DdB9zQ7y/q90GU8LRkU1Q==" saltValue="D89+C8QNy94ZEdJb7wRrOQ==" spinCount="100000" sheet="1" objects="1" scenarios="1"/>
  <phoneticPr fontId="3" type="noConversion"/>
  <hyperlinks>
    <hyperlink ref="G32" r:id="rId1" xr:uid="{E6346148-C650-40B3-85AB-DDCBE914B28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 calculator</vt:lpstr>
      <vt:lpstr>LIV Health Care %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 Kleppner</dc:creator>
  <cp:lastModifiedBy>Sean Sheehan</cp:lastModifiedBy>
  <dcterms:created xsi:type="dcterms:W3CDTF">2020-10-08T10:57:45Z</dcterms:created>
  <dcterms:modified xsi:type="dcterms:W3CDTF">2021-01-01T19:04:56Z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20210101140452593</vt:lpwstr>
  </property>
</Properties>
</file>