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O:\JFOSHARE\Tax Structure Commission\Meeting Documents\02-01-2021\"/>
    </mc:Choice>
  </mc:AlternateContent>
  <xr:revisionPtr revIDLastSave="0" documentId="14_{C77D4983-611B-4FDA-900E-EABDD5DF4E5A}" xr6:coauthVersionLast="44" xr6:coauthVersionMax="44" xr10:uidLastSave="{00000000-0000-0000-0000-000000000000}"/>
  <bookViews>
    <workbookView xWindow="-120" yWindow="-120" windowWidth="25440" windowHeight="15390" tabRatio="613" xr2:uid="{CB44566F-55D4-4CCE-AE4B-5BA7EE2BF5F5}"/>
  </bookViews>
  <sheets>
    <sheet name="Sales Tax rate calculator" sheetId="7" r:id="rId1"/>
    <sheet name="Provider Tax rate calculator" sheetId="11" r:id="rId2"/>
    <sheet name="LIV Health Care % Calculation" sheetId="10"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11" l="1"/>
  <c r="F25" i="11"/>
  <c r="F26" i="11"/>
  <c r="F27" i="11"/>
  <c r="F28" i="11"/>
  <c r="F29" i="11"/>
  <c r="F30" i="11"/>
  <c r="F31" i="11"/>
  <c r="F32" i="11"/>
  <c r="F33" i="11"/>
  <c r="F34" i="11"/>
  <c r="F35" i="11"/>
  <c r="F23" i="11"/>
  <c r="F17" i="11"/>
  <c r="F18" i="11"/>
  <c r="F19" i="11"/>
  <c r="F20" i="11"/>
  <c r="F16" i="11"/>
  <c r="F15" i="11"/>
  <c r="E36" i="11"/>
  <c r="F36" i="11" s="1"/>
  <c r="P16" i="7" l="1"/>
  <c r="O16" i="7"/>
  <c r="N16" i="7"/>
  <c r="N18" i="7"/>
  <c r="N19" i="7"/>
  <c r="N20" i="7"/>
  <c r="N21" i="7"/>
  <c r="N22" i="7"/>
  <c r="N23" i="7"/>
  <c r="N24" i="7"/>
  <c r="N25" i="7"/>
  <c r="N26" i="7"/>
  <c r="N27" i="7"/>
  <c r="N28" i="7"/>
  <c r="N29" i="7"/>
  <c r="N30" i="7"/>
  <c r="N31" i="7"/>
  <c r="N32" i="7"/>
  <c r="N33" i="7"/>
  <c r="N17" i="7"/>
  <c r="F57" i="11" l="1"/>
  <c r="E36" i="7"/>
  <c r="E48" i="7"/>
  <c r="E50" i="7" s="1"/>
  <c r="E46" i="7"/>
  <c r="E49" i="7" l="1"/>
  <c r="E51" i="7" s="1"/>
  <c r="E52" i="7" l="1"/>
  <c r="E53" i="7" s="1"/>
  <c r="G52" i="11" l="1"/>
  <c r="I32" i="11"/>
  <c r="I33" i="11"/>
  <c r="I34" i="11"/>
  <c r="I35" i="11"/>
  <c r="G16" i="11"/>
  <c r="G17" i="11"/>
  <c r="G18" i="11"/>
  <c r="G19" i="11"/>
  <c r="G20" i="11"/>
  <c r="G15" i="11"/>
  <c r="G24" i="11"/>
  <c r="G25" i="11"/>
  <c r="G26" i="11"/>
  <c r="G27" i="11"/>
  <c r="G28" i="11"/>
  <c r="G29" i="11"/>
  <c r="G30" i="11"/>
  <c r="G31" i="11"/>
  <c r="G32" i="11"/>
  <c r="G33" i="11"/>
  <c r="G34" i="11"/>
  <c r="G35" i="11"/>
  <c r="G23" i="11"/>
  <c r="F52" i="11" l="1"/>
  <c r="I49" i="11" l="1"/>
  <c r="H49" i="11"/>
  <c r="G49" i="11"/>
  <c r="E12" i="11"/>
  <c r="F41" i="11" s="1"/>
  <c r="F45" i="11" l="1"/>
  <c r="F46" i="11" s="1"/>
  <c r="F51" i="11" s="1"/>
  <c r="G45" i="11"/>
  <c r="G36" i="11"/>
  <c r="G47" i="11" s="1"/>
  <c r="G50" i="11" s="1"/>
  <c r="F47" i="11"/>
  <c r="H12" i="11"/>
  <c r="F50" i="11" l="1"/>
  <c r="F53" i="11" s="1"/>
  <c r="F55" i="11"/>
  <c r="F56" i="11" s="1"/>
  <c r="F58" i="11" s="1"/>
  <c r="G41" i="11"/>
  <c r="I45" i="11"/>
  <c r="H45" i="11"/>
  <c r="G46" i="11"/>
  <c r="F48" i="11"/>
  <c r="H18" i="11"/>
  <c r="I18" i="11" s="1"/>
  <c r="H17" i="11"/>
  <c r="H15" i="11"/>
  <c r="H16" i="11"/>
  <c r="I16" i="11" s="1"/>
  <c r="H25" i="11"/>
  <c r="I25" i="11" s="1"/>
  <c r="H20" i="11"/>
  <c r="I20" i="11" s="1"/>
  <c r="H36" i="11"/>
  <c r="I36" i="11" s="1"/>
  <c r="H27" i="11"/>
  <c r="I27" i="11" s="1"/>
  <c r="H24" i="11"/>
  <c r="I24" i="11" s="1"/>
  <c r="H31" i="11"/>
  <c r="I31" i="11" s="1"/>
  <c r="H28" i="11"/>
  <c r="I28" i="11" s="1"/>
  <c r="H23" i="11"/>
  <c r="H29" i="11"/>
  <c r="I29" i="11" s="1"/>
  <c r="H19" i="11"/>
  <c r="I19" i="11" s="1"/>
  <c r="H26" i="11"/>
  <c r="I26" i="11" s="1"/>
  <c r="H30" i="11"/>
  <c r="I30" i="11" s="1"/>
  <c r="D30" i="10"/>
  <c r="C10" i="10"/>
  <c r="E33" i="10"/>
  <c r="F33" i="10"/>
  <c r="F34" i="10" s="1"/>
  <c r="D33" i="10"/>
  <c r="F31" i="10"/>
  <c r="E31" i="10"/>
  <c r="D31" i="10"/>
  <c r="C7" i="10"/>
  <c r="G48" i="11" l="1"/>
  <c r="G51" i="11"/>
  <c r="G53" i="11" s="1"/>
  <c r="I15" i="11"/>
  <c r="H46" i="11"/>
  <c r="H51" i="11" s="1"/>
  <c r="H47" i="11"/>
  <c r="H50" i="11" s="1"/>
  <c r="I23" i="11"/>
  <c r="I47" i="11" s="1"/>
  <c r="I50" i="11" s="1"/>
  <c r="I17" i="11"/>
  <c r="I52" i="11" s="1"/>
  <c r="H52" i="11"/>
  <c r="H41" i="11"/>
  <c r="E34" i="10"/>
  <c r="C11" i="10"/>
  <c r="E30" i="10"/>
  <c r="F30" i="10"/>
  <c r="D34" i="10"/>
  <c r="F29" i="7"/>
  <c r="F17" i="7"/>
  <c r="H53" i="11" l="1"/>
  <c r="I46" i="11"/>
  <c r="H48" i="11"/>
  <c r="I41" i="11"/>
  <c r="F36" i="10"/>
  <c r="F38" i="10" s="1"/>
  <c r="I48" i="11" l="1"/>
  <c r="I51" i="11"/>
  <c r="I53" i="11" s="1"/>
  <c r="F42" i="7"/>
  <c r="G42" i="7"/>
  <c r="H42" i="7"/>
  <c r="F40" i="7"/>
  <c r="F33" i="7"/>
  <c r="F30" i="7"/>
  <c r="F31" i="7"/>
  <c r="F32" i="7"/>
  <c r="F26" i="7"/>
  <c r="F18" i="7"/>
  <c r="F19" i="7"/>
  <c r="F20" i="7"/>
  <c r="F21" i="7"/>
  <c r="F22" i="7"/>
  <c r="F23" i="7"/>
  <c r="F24" i="7"/>
  <c r="F25" i="7"/>
  <c r="E40" i="7"/>
  <c r="D13" i="7"/>
  <c r="E41" i="7" l="1"/>
  <c r="F41" i="7"/>
  <c r="E43" i="7" l="1"/>
  <c r="F43" i="7" s="1"/>
  <c r="E47" i="7"/>
  <c r="F36" i="7"/>
  <c r="G30" i="7"/>
  <c r="H30" i="7" s="1"/>
  <c r="G22" i="7"/>
  <c r="H22" i="7" s="1"/>
  <c r="G18" i="7"/>
  <c r="H18" i="7" s="1"/>
  <c r="G31" i="7"/>
  <c r="H31" i="7" s="1"/>
  <c r="G23" i="7"/>
  <c r="H23" i="7" s="1"/>
  <c r="G19" i="7"/>
  <c r="H19" i="7" s="1"/>
  <c r="G32" i="7"/>
  <c r="H32" i="7" s="1"/>
  <c r="G24" i="7"/>
  <c r="H24" i="7" s="1"/>
  <c r="G26" i="7"/>
  <c r="H26" i="7" s="1"/>
  <c r="G33" i="7"/>
  <c r="H33" i="7" s="1"/>
  <c r="G25" i="7"/>
  <c r="H25" i="7" s="1"/>
  <c r="G29" i="7"/>
  <c r="H29" i="7" s="1"/>
  <c r="G20" i="7"/>
  <c r="H20" i="7" s="1"/>
  <c r="G17" i="7"/>
  <c r="G21" i="7"/>
  <c r="H21" i="7" s="1"/>
  <c r="F13" i="7"/>
  <c r="G40" i="7" l="1"/>
  <c r="H40" i="7"/>
  <c r="G41" i="7"/>
  <c r="G43" i="7" s="1"/>
  <c r="G36" i="7"/>
  <c r="H17" i="7"/>
  <c r="H36" i="7" s="1"/>
  <c r="H41" i="7" l="1"/>
  <c r="H43" i="7" s="1"/>
</calcChain>
</file>

<file path=xl/sharedStrings.xml><?xml version="1.0" encoding="utf-8"?>
<sst xmlns="http://schemas.openxmlformats.org/spreadsheetml/2006/main" count="380" uniqueCount="227">
  <si>
    <t>Instructions</t>
  </si>
  <si>
    <t>Notes</t>
  </si>
  <si>
    <t>Proposed new rate</t>
  </si>
  <si>
    <t>Incremental revenue beyond current revenue</t>
  </si>
  <si>
    <t>Protection for low-income Vermonters?</t>
  </si>
  <si>
    <t>No</t>
  </si>
  <si>
    <t>Yes</t>
  </si>
  <si>
    <t xml:space="preserve">Baseline </t>
  </si>
  <si>
    <t>2019 est. provider tax rev</t>
  </si>
  <si>
    <t>Percent spent by lowest 40% of Vters</t>
  </si>
  <si>
    <t>VT 2019 Population</t>
  </si>
  <si>
    <t>VT 2019 Health care spend</t>
  </si>
  <si>
    <t>1. Current sales tax base and sales tax revenue from VT Dept of Taxes, "06302020SUTStatsFiscalReport75Day"</t>
  </si>
  <si>
    <t>Notes 1 &amp; 2</t>
  </si>
  <si>
    <t>2020 sales tax revenue</t>
  </si>
  <si>
    <t>2020 sales tax base</t>
  </si>
  <si>
    <t>Note 4</t>
  </si>
  <si>
    <t>Related to personal property besides cars (Notes 8 &amp; 13)</t>
  </si>
  <si>
    <t>Bureau of Labor Statistics (https://www.bls.gov/cex/2018/aggregate/decile.pdf);</t>
  </si>
  <si>
    <t>(https://www.kff.org/other/state-indicator/distribution-by-fpl/?currentTimeframe=0&amp;sortModel=%7B%22colId%22:%22Location%22,%22sort%22:%22asc%22%7D)</t>
  </si>
  <si>
    <r>
      <rPr>
        <sz val="11"/>
        <color theme="1"/>
        <rFont val="Calibri"/>
        <family val="2"/>
      </rPr>
      <t>•</t>
    </r>
    <r>
      <rPr>
        <sz val="11"/>
        <color theme="1"/>
        <rFont val="Calibri"/>
        <family val="2"/>
        <scheme val="minor"/>
      </rPr>
      <t>Table 1110. Deciles of income before taxes: Shares of annual aggregate expenditures and sources of income, Consumer Expenditure Survey, 2018,</t>
    </r>
  </si>
  <si>
    <r>
      <rPr>
        <sz val="11"/>
        <color theme="1"/>
        <rFont val="Calibri"/>
        <family val="2"/>
      </rPr>
      <t>•</t>
    </r>
    <r>
      <rPr>
        <sz val="11"/>
        <color theme="1"/>
        <rFont val="Calibri"/>
        <family val="2"/>
        <scheme val="minor"/>
      </rPr>
      <t xml:space="preserve">"Distribution of Total Population By Federal Poverty Level," Kaiser Family Foundation, </t>
    </r>
  </si>
  <si>
    <r>
      <rPr>
        <sz val="11"/>
        <color theme="1"/>
        <rFont val="Calibri"/>
        <family val="2"/>
      </rPr>
      <t>•"</t>
    </r>
    <r>
      <rPr>
        <sz val="11"/>
        <color theme="1"/>
        <rFont val="Calibri"/>
        <family val="2"/>
        <scheme val="minor"/>
      </rPr>
      <t>The Economic Incidence of Health Care Spending in Vermont," RAND, 2015 (https://www.rand.org/content/dam/rand/pubs/research_reports/RR900/RR901/RAND_RR901.pdf).</t>
    </r>
  </si>
  <si>
    <t>Table 1110. Deciles of income before taxes: Shares of annual aggregate expenditures and sources of income, Consumer Expenditure Survey, 2018, Bureau of Labor Statistics (https://www.bls.gov/cex/2018/aggregate/decile.pdf)</t>
  </si>
  <si>
    <t>Sales Tax Rate Calculator with Different Categories Included In the Base</t>
  </si>
  <si>
    <t>Proposed new sales tax base w/ no elasticity and no protection for low-income Vters</t>
  </si>
  <si>
    <t>New rate w/ no elasticity and no protection for low-income Vters</t>
  </si>
  <si>
    <t>New rate w/ no elasticity, with protection for low-income Vters</t>
  </si>
  <si>
    <t>New rate w/ elasticity and no protection for low-income Vters</t>
  </si>
  <si>
    <t>New rate w/ elasticity, with protection for low-income Vters</t>
  </si>
  <si>
    <t>Proposed new sales tax base w/ no elasticity, with protection for low-income Vters</t>
  </si>
  <si>
    <t>Set tax rate: change only the yellow cell, after selecting categories above.</t>
  </si>
  <si>
    <t>No price elasticity of demand</t>
  </si>
  <si>
    <t>With price elasticity of demand</t>
  </si>
  <si>
    <t>3.Total 2020 health care spend from the Green Mountain Care Board's 2018 Vermont Health Care Expenditure Analysis, assuming 3% growth in 2019 and 2020.</t>
  </si>
  <si>
    <t>Category I: Health care categories currently subject to provider tax</t>
  </si>
  <si>
    <t>Lab and x-ray services</t>
  </si>
  <si>
    <t>Services of managed care organizations</t>
  </si>
  <si>
    <t>Category II: Health care categories not currently subject to provider tax</t>
  </si>
  <si>
    <t>Ambulatory surgical/service centers</t>
  </si>
  <si>
    <t>Other health care items/services  w/ state licensing/certifying</t>
  </si>
  <si>
    <t>2. For "Category II: Health care categories not currently subject to provider tax", put a lowercase "x" in the blue box for each category you'd like to include in the provider tax.</t>
  </si>
  <si>
    <t>Current provider tax avg rate</t>
  </si>
  <si>
    <t>Current sales tax base</t>
  </si>
  <si>
    <t>Proposed new sales tax base</t>
  </si>
  <si>
    <t>Sales tax rate needed to raise the same sales tax revenue as 2019, assuming same sales revenue</t>
  </si>
  <si>
    <t>Provider tax rate for checked categories needed to raise the same provider tax revenue as 2020</t>
  </si>
  <si>
    <t>Current provider tax base staying at current rates</t>
  </si>
  <si>
    <t>&lt;138% flp</t>
  </si>
  <si>
    <t>139% - 200%</t>
  </si>
  <si>
    <t>    Total households</t>
  </si>
  <si>
    <t>        Less than $10,000</t>
  </si>
  <si>
    <t>        $10,000 to $14,999</t>
  </si>
  <si>
    <t>        $15,000 to $24,999</t>
  </si>
  <si>
    <t>        $25,000 to $34,999</t>
  </si>
  <si>
    <t>        $35,000 to $49,999</t>
  </si>
  <si>
    <t>        $50,000 to $74,999</t>
  </si>
  <si>
    <t>        $75,000 to $99,999</t>
  </si>
  <si>
    <t>        $100,000 to $149,999</t>
  </si>
  <si>
    <t>        $150,000 to $199,999</t>
  </si>
  <si>
    <t>        $200,000 or more</t>
  </si>
  <si>
    <t>        Median household income (dollars)</t>
  </si>
  <si>
    <t>https://data.census.gov/cedsci/table?g=0400000US50&amp;tid=ACSDP5Y2019.DP03</t>
  </si>
  <si>
    <t>Source</t>
  </si>
  <si>
    <t>Avg VT household = 2.32 persons</t>
  </si>
  <si>
    <t>201%-250%</t>
  </si>
  <si>
    <t># of Vermont households</t>
  </si>
  <si>
    <t>US Census American Community Survey</t>
  </si>
  <si>
    <t>Calculation from population and household numbers above</t>
  </si>
  <si>
    <t>100% federal poverty level, 2 persons</t>
  </si>
  <si>
    <t>100% federal poverty level, 3 persons</t>
  </si>
  <si>
    <t>https://aspe.hhs.gov/poverty-guidelines</t>
  </si>
  <si>
    <t>calculated from above number</t>
  </si>
  <si>
    <t>calculated from above two numbers</t>
  </si>
  <si>
    <t>https://www.census.gov/quickfacts/VT</t>
  </si>
  <si>
    <t>https://gmcboard.vermont.gov/sites/gmcb/files/Misc/2018_VT_Health_Care_Expenditure_Analysis_Final_%20July_%208_%202020.pdf</t>
  </si>
  <si>
    <t>Per capita health care spending (no wage offsets)</t>
  </si>
  <si>
    <t>approximate # of households</t>
  </si>
  <si>
    <t>100% federal poverty level, 2.4 persons</t>
  </si>
  <si>
    <t>250% federal poverty level, 2.4 persons</t>
  </si>
  <si>
    <t>Household income for avg household of 2.4 persons</t>
  </si>
  <si>
    <t>Household spending (household size of 2.4)</t>
  </si>
  <si>
    <t>Calculated from above</t>
  </si>
  <si>
    <t>https://www.rand.org/content/dam/rand/pubs/research_reports/RR900/RR901/RAND_RR901.pdf, p 29: Table 4.3. Average Payments for Health Care Per Capita, by Family Income Level, 2017</t>
  </si>
  <si>
    <t>Per capita spending x 2.4 persons per household</t>
  </si>
  <si>
    <t>Household spending x number of households</t>
  </si>
  <si>
    <t>Approx. total health care spending by all households in first four income decile</t>
  </si>
  <si>
    <t>Approx. total health care spending by households in income band</t>
  </si>
  <si>
    <t xml:space="preserve">Health care spending in first four income deciles as % of total Vermont health care spending </t>
  </si>
  <si>
    <t>Sum of spending in three income bands</t>
  </si>
  <si>
    <t>Sum of spending in three income bands divided by total Vermont spend</t>
  </si>
  <si>
    <t>that combination of categories and rate will raise. E75  assumes low-income Vermonters pay the tax on new categories, F75 assumes they are fully protected from the tax.</t>
  </si>
  <si>
    <t>Existing sales tax base, adjusted for elasticity</t>
  </si>
  <si>
    <t>4. See tab "LIV Health Care % Calculation" for derivation of total health care spending incurred by low-income Vermonters as a percent of total Vermont health care spending.</t>
  </si>
  <si>
    <t>Note 9</t>
  </si>
  <si>
    <t>Note 3</t>
  </si>
  <si>
    <t>Source for elasticity</t>
  </si>
  <si>
    <t>Source for low-income %</t>
  </si>
  <si>
    <t>Green Mountain Care Board's 2020 Vermont Health Care Expenditure Analysis, assuming 3% growth in 2019 and 2020, and</t>
  </si>
  <si>
    <t>“Provider Taxes Overview,” Langweil &amp; Carbee, JFO and OLC, November 9, 2020.</t>
  </si>
  <si>
    <t>Data source and explanation</t>
  </si>
  <si>
    <t xml:space="preserve">Education </t>
  </si>
  <si>
    <t>Automotive services</t>
  </si>
  <si>
    <t xml:space="preserve">https://accd.vermont.gov/sites/accdnew/files/documents/DED/CEDS/CEDS2020FullReport.pdf </t>
  </si>
  <si>
    <t xml:space="preserve">Hair, Skin, &amp; Nails </t>
  </si>
  <si>
    <t>Veterinary services</t>
  </si>
  <si>
    <t>Travel</t>
  </si>
  <si>
    <t xml:space="preserve">Funeral </t>
  </si>
  <si>
    <t>Household Services</t>
  </si>
  <si>
    <t xml:space="preserve">Professional services </t>
  </si>
  <si>
    <t>Services not related to personal property</t>
  </si>
  <si>
    <t>Groceries</t>
  </si>
  <si>
    <t>Residential energy</t>
  </si>
  <si>
    <t>Clothing</t>
  </si>
  <si>
    <t>Newspapers</t>
  </si>
  <si>
    <t>Sales of mobile/modular homes</t>
  </si>
  <si>
    <t>Health Care Spending by Low-Income Vermonters as a % of Total Vermont Health Care Spending</t>
  </si>
  <si>
    <t>Calculation inputs</t>
  </si>
  <si>
    <t>Value</t>
  </si>
  <si>
    <t>Number of Vermont Households in Each Household Income Range</t>
  </si>
  <si>
    <t>As noted in the report, three measures of "low-income" converge around a single value: 80% of median household income ($49,578), 250% of fpl ($47,580), and the 40th percentile ($49,999)</t>
  </si>
  <si>
    <t>Avg household size in Vermont</t>
  </si>
  <si>
    <t xml:space="preserve"> Dentists</t>
  </si>
  <si>
    <t xml:space="preserve">  Physicians</t>
  </si>
  <si>
    <t xml:space="preserve"> Other Professionals: Podiatric services</t>
  </si>
  <si>
    <t xml:space="preserve"> Other Professionals: Chiropractors</t>
  </si>
  <si>
    <t xml:space="preserve"> Other Professionals: Optometric services</t>
  </si>
  <si>
    <t xml:space="preserve"> Other Professionals: Physical Therapy</t>
  </si>
  <si>
    <t xml:space="preserve"> Other Professionals: Nursing services?</t>
  </si>
  <si>
    <t xml:space="preserve"> Psychological</t>
  </si>
  <si>
    <t>x</t>
  </si>
  <si>
    <t>Any reduction of the sales tax below 6% reduces their household expenditures, so it reduces the amount needed to keep those households whole.</t>
  </si>
  <si>
    <t>Calculated from household income numbers in table above</t>
  </si>
  <si>
    <t>This model nets out the gain from the reduction in taxes on some things and the loss from the extension of the tax to other things to arrive at</t>
  </si>
  <si>
    <t>the amount needed to be returned to the lower 40% in order to keep them whole in the two scenarios with protection for low-income Vermonters.</t>
  </si>
  <si>
    <t>Category I: Services not currently subject to sales tax</t>
  </si>
  <si>
    <t>New total sales w/ elasticity and no protection for low-income Vters</t>
  </si>
  <si>
    <t>New total sales w/ elasticity and holding low-income VTers  harmless</t>
  </si>
  <si>
    <t>Set tax rate: change only the green cell, after selecting categories above.</t>
  </si>
  <si>
    <t>Hospitals: go fr. current 6% rate to new single provider tax rate</t>
  </si>
  <si>
    <t>Nursing homes: go fr. current 6% rate to new single provider tax rate</t>
  </si>
  <si>
    <t>Home health: go fr. current 4.25% rate to new single provider tax rate</t>
  </si>
  <si>
    <t>Intermediate care facilities: go fr. current 5.9% rate to new single provider tax rate</t>
  </si>
  <si>
    <t>Prescription drugs: go fr current  $0.10/prescription to new single provider tax rate</t>
  </si>
  <si>
    <t>Emergency ambulance: go fr. current 3.30% rate to new single provider tax rate</t>
  </si>
  <si>
    <t>Provider Tax Rate Calculator with Different Categories Included In the Base</t>
  </si>
  <si>
    <t>Proposed total provider tax base for new rate</t>
  </si>
  <si>
    <t>New additions to provider tax base</t>
  </si>
  <si>
    <t>Revenue from categories staying at old rate</t>
  </si>
  <si>
    <t>New rate w/ no elasticity, holding low-income Vters harmless</t>
  </si>
  <si>
    <t>New rate w/ elasticity, holding low-income Vters harmless</t>
  </si>
  <si>
    <t>1. For "Category I: Health care categories currently subject to provider tax", put a lowercase "x" in the box to move that category to the new single provider tax rate. Leaving it blank leaves that category taxed at its current provider tax rate.</t>
  </si>
  <si>
    <t>3. To remove an "x", hit the delete key</t>
  </si>
  <si>
    <t xml:space="preserve">4. Once you have chosen all the categories to include, you can input a tax rate in cell E74, highlighted in green, and cells E75 and F75 will tell you how much additional revenue, compared to 2019, </t>
  </si>
  <si>
    <t>5. Do not change anything else</t>
  </si>
  <si>
    <t>1. For Categories I and II, put a lowercase "x" in the yellow box for each category you'd like to include in the sales tax</t>
  </si>
  <si>
    <t>2. To remove an "x", hit the delete key</t>
  </si>
  <si>
    <t>3. Tax rate necessary to raise the same amount of sales tax as in 2019, assuming 2019 sales levels, and assuming no protection for low-income Vermonters, appears at the bottom in cell E37.</t>
  </si>
  <si>
    <t>4. Tax rate necessary to raise the same amount of sales tax as in 2019, assuming 2019 sales levels, and assuming full protection for low-income Vermoners, appears at the bottom in cell F37.</t>
  </si>
  <si>
    <t xml:space="preserve">5. Once you have chosen all the categories to include, you can input a tax rate in cell E43, highlighted in green, and cells E44 and F44 will tell you how much additional revenue, compared to 2019, </t>
  </si>
  <si>
    <t>that combination of categories and rate will raise. E44 assumes low-income Vermonters pay the tax on new categories, F44 assumes they are fully protected from the tax.</t>
  </si>
  <si>
    <t>6. Do not change anything else</t>
  </si>
  <si>
    <t>1. Source for 2019 provider tax estimates: LJFO State Health Care Resources Fund 2019 Revenue breakdown, and</t>
  </si>
  <si>
    <t>Note 1</t>
  </si>
  <si>
    <t>Note 2</t>
  </si>
  <si>
    <t>2. "The Economic Incidence of Health Care Spending in Vermont," RAND, 2015 (https://www.rand.org/content/dam/rand/pubs/research_reports/RR900/RR901/RAND_RR901.pdf), and</t>
  </si>
  <si>
    <t>3. Price elasticity of demand for health care is set at -.17, per “The Elasticity of Demand for Health Care,” RAND, 2005.</t>
  </si>
  <si>
    <t>Note 5</t>
  </si>
  <si>
    <t>Proposed new provider tax base w/ no elasticity, holding low-income Vters harmless (Note 5)</t>
  </si>
  <si>
    <t>Proposed new provider tax base w/ elasticity, holding low-income Vters harmless (Note 5)</t>
  </si>
  <si>
    <t>5. We assume that the systems in place to protect low-income Vermonters from the provider tax on the categories currently subject to the provider tax will continue to do so, even if the rates get adjusted a bit up or down.</t>
  </si>
  <si>
    <t>Yes (Note 5)</t>
  </si>
  <si>
    <t>Current provider tax base moving to the new single rate</t>
  </si>
  <si>
    <t>Proposed new provider tax base w/ no elasticity and no protection for low-income Vters (Note 6)</t>
  </si>
  <si>
    <t>Proposed new provider tax base w/ elasticity and no protection for low-income Vters (Note 6)</t>
  </si>
  <si>
    <t>6. For the "no protection for low-income Vermonters" calculations, we made no changes to the categories currently subject to the provider tax. For categories not currently subject to the provider tax, we reduced revenue by enough to keep low-income Vermonters whole.</t>
  </si>
  <si>
    <t>Notes 3 &amp; 8</t>
  </si>
  <si>
    <t>7. This category includes Mental Health Clinics, Community Rehab Treatment, Day Treatment, Home &amp; Community Based Mental Health and Development Services, Home &amp; Community Based Care such as Aged and Disabled, Enhanced Residential Care, Assistive Community Care, Manage Care Organization Investments, Other Mental Health and Substance Abuse Services, and Miscellaneous Other AHS services.</t>
  </si>
  <si>
    <t>8. Calculated by using the GMCB's number for Drugs &amp; Supplies and subtracting prescription medications.</t>
  </si>
  <si>
    <t>2. For all categories for which there is not specific elasticity data, including the current sales tax base, we have assumed unit elasticity.</t>
  </si>
  <si>
    <t xml:space="preserve">3. Bureau of Economic Analysis, https://apps.bea.gov/iTable/iTable.cfm?reqid=70&amp;step=1&amp;isuri=1&amp;acrdn=4#reqid=70&amp;step=1&amp;isuri=1 . </t>
  </si>
  <si>
    <t>4. https://www.reed.edu/economics/parker/f10/201/cases/elasticity.html</t>
  </si>
  <si>
    <t xml:space="preserve">5. State-level data not available, so we assumed that the distribution of spending across income deciles in Vermont matched that of the United States: </t>
  </si>
  <si>
    <t>6. "Sales Tax on Services Study," Vermont Dept of Taxes, 2015.</t>
  </si>
  <si>
    <t>7. Includes general repair, services at dealerships, body, paint, interior, oil changes, glass replacement, washing, towing, etc.</t>
  </si>
  <si>
    <t>Notes 6,7</t>
  </si>
  <si>
    <t>Note 6</t>
  </si>
  <si>
    <t>8. Landscaping, fitness centers, limo services, sports instruction, educational support services, etc.</t>
  </si>
  <si>
    <t>Notes 6, 8</t>
  </si>
  <si>
    <t>9. Absent specific data about what percent of a category's total spend was by the lower 40%, we used the average of those services for which we do have data.</t>
  </si>
  <si>
    <t>10. Legal services, accounting services, engineering services, etc.</t>
  </si>
  <si>
    <t>Notes 6, 10</t>
  </si>
  <si>
    <t>Notes 6 ,11</t>
  </si>
  <si>
    <t>11. Self-storage, pet care (not veterinary), repair of household goods/appliances/electronics/furniture, RV parks, drycleaning, heating oil dealers, parking garages, marinas, formal wear rental, etc.</t>
  </si>
  <si>
    <t>12. Subscriptions to newspapers, extermination services, janitorial services, snowplowing, carpet cleaning, solid waste collection, etc.</t>
  </si>
  <si>
    <t>Notes 6, 12</t>
  </si>
  <si>
    <t>Note 13</t>
  </si>
  <si>
    <t>13. 2019 Vermont Tax Expenditure Report</t>
  </si>
  <si>
    <t>14. https://www.ncbi.nlm.nih.gov/pmc/articles/PMC2804646/</t>
  </si>
  <si>
    <t>Note 14</t>
  </si>
  <si>
    <t>15. Estimates for the price elasticity of demand for residential energy use vary from -.1 to -1.0, with most of them landing around -.4.</t>
  </si>
  <si>
    <t>Note 15</t>
  </si>
  <si>
    <t>16. To be conservative, we assumed that all sales of mobile homes were to low-income Vermonters.</t>
  </si>
  <si>
    <t>17. We estimate that the lower four deciles of Vermont households by income buy about 22.4% of the items currently subject to the sales tax.</t>
  </si>
  <si>
    <t>Note 17</t>
  </si>
  <si>
    <t>Notes 13,16</t>
  </si>
  <si>
    <t>Low-income worksheet</t>
  </si>
  <si>
    <t>Tax paid by low-income Vermonters on newly taxed categories</t>
  </si>
  <si>
    <t>Reduction in taxes paid by low-income Vermonters through the reduced rate on items they purchase</t>
  </si>
  <si>
    <t>Tax paid by providers on services for low-income Vermonters on newly taxed categories</t>
  </si>
  <si>
    <t>Net required to return to low-income Vermonters to avoid any additonal financial burden</t>
  </si>
  <si>
    <t>Reduction in taxes on services to low-income Vermonters on currently taxed categories</t>
  </si>
  <si>
    <t>Net additional taxes paid by providers on services for low-income Vermonters</t>
  </si>
  <si>
    <t>Additional nrew revenue (w/ 15% admin cost for columns w/ low-income protection)</t>
  </si>
  <si>
    <t>15% admin cost</t>
  </si>
  <si>
    <t>Total cost to keep low-income Vermonters whole</t>
  </si>
  <si>
    <t>New provider tax categories revenue</t>
  </si>
  <si>
    <t>Revenue from new additions to the provider tax</t>
  </si>
  <si>
    <t>Revenue from current provider tax categories moving to the new rate</t>
  </si>
  <si>
    <t>Revenue of providers currently subject to the provider tax</t>
  </si>
  <si>
    <t>Mental Health &amp; Other Govt Activities (non-taxable -- see Note 9)</t>
  </si>
  <si>
    <t>9. Per Nolan Langweil, these "are not listed as permissible classes to tax under provider tax regs so those revenues would need to be excluded from the model.  These are services (as listed in the EA) provided through AHS, public mental health funding, case management services, and VT Dept of Corrections."</t>
  </si>
  <si>
    <t>Notes 3,7,9</t>
  </si>
  <si>
    <t>Prescription &amp; non-script med devices/non-script meds (Note 10)</t>
  </si>
  <si>
    <t>10. While these are health care expenses, federal law does not allow the provider tax to be applied to them.</t>
  </si>
  <si>
    <t>Category II: Goods not currently subject to sales tax</t>
  </si>
  <si>
    <t>Reduction factor to account for the difference between revenue and net patient revenut (2%), and for non-compliance by providers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</si>
</sst>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164" formatCode="&quot;$&quot;#,##0"/>
    <numFmt numFmtId="165" formatCode="0.000%"/>
    <numFmt numFmtId="166" formatCode="&quot;$&quot;#,##0.00"/>
    <numFmt numFmtId="167" formatCode="&quot;$&quot;#,##0.0"/>
    <numFmt numFmtId="168" formatCode="0.0%"/>
    <numFmt numFmtId="169" formatCode="0.0000%"/>
    <numFmt numFmtId="170" formatCode="0.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1"/>
      <color indexed="8"/>
      <name val="Calibri"/>
      <family val="2"/>
      <scheme val="minor"/>
    </font>
    <font>
      <sz val="9"/>
      <name val="Arial"/>
      <family val="2"/>
    </font>
    <font>
      <sz val="10"/>
      <name val="Arial"/>
      <family val="2"/>
    </font>
    <font>
      <u/>
      <sz val="11"/>
      <color theme="10"/>
      <name val="Calibri"/>
      <family val="2"/>
      <scheme val="minor"/>
    </font>
    <font>
      <sz val="11"/>
      <color rgb="FF000000"/>
      <name val="Calibri"/>
      <family val="2"/>
      <scheme val="minor"/>
    </font>
    <font>
      <sz val="9"/>
      <color theme="1"/>
      <name val="Arial"/>
      <family val="2"/>
    </font>
    <font>
      <sz val="11"/>
      <color theme="1"/>
      <name val="Calibri"/>
      <family val="2"/>
    </font>
    <font>
      <sz val="12"/>
      <color theme="1"/>
      <name val="Calibri"/>
      <family val="2"/>
      <scheme val="minor"/>
    </font>
    <font>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rgb="FF00B0F0"/>
        <bgColor indexed="64"/>
      </patternFill>
    </fill>
    <fill>
      <patternFill patternType="solid">
        <fgColor rgb="FF92D050"/>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44" fontId="1" fillId="0" borderId="0" applyFont="0" applyFill="0" applyBorder="0" applyAlignment="0" applyProtection="0"/>
    <xf numFmtId="0" fontId="4" fillId="0" borderId="0"/>
    <xf numFmtId="0" fontId="7" fillId="0" borderId="0" applyNumberFormat="0" applyFill="0" applyBorder="0" applyAlignment="0" applyProtection="0"/>
  </cellStyleXfs>
  <cellXfs count="277">
    <xf numFmtId="0" fontId="0" fillId="0" borderId="0" xfId="0"/>
    <xf numFmtId="0" fontId="0" fillId="0" borderId="0" xfId="0" applyAlignment="1">
      <alignment horizontal="right"/>
    </xf>
    <xf numFmtId="164" fontId="0" fillId="0" borderId="0" xfId="0" applyNumberFormat="1"/>
    <xf numFmtId="0" fontId="0" fillId="0" borderId="0" xfId="0" applyAlignment="1">
      <alignment horizontal="left"/>
    </xf>
    <xf numFmtId="0" fontId="0" fillId="0" borderId="0" xfId="0" applyBorder="1" applyAlignment="1">
      <alignment horizontal="right"/>
    </xf>
    <xf numFmtId="0" fontId="0" fillId="0" borderId="8" xfId="0" applyBorder="1" applyAlignment="1">
      <alignment horizontal="right"/>
    </xf>
    <xf numFmtId="0" fontId="0" fillId="0" borderId="0" xfId="0" applyFill="1" applyBorder="1" applyAlignment="1">
      <alignment horizontal="right"/>
    </xf>
    <xf numFmtId="0" fontId="2" fillId="0" borderId="0" xfId="0" applyFont="1"/>
    <xf numFmtId="0" fontId="0" fillId="0" borderId="0" xfId="0" applyFill="1" applyAlignment="1">
      <alignment horizontal="center" vertical="center"/>
    </xf>
    <xf numFmtId="0" fontId="2" fillId="0" borderId="2" xfId="0" applyFont="1" applyBorder="1"/>
    <xf numFmtId="0" fontId="0" fillId="0" borderId="5" xfId="0" applyBorder="1"/>
    <xf numFmtId="0" fontId="0" fillId="0" borderId="7" xfId="0" applyBorder="1"/>
    <xf numFmtId="0" fontId="0" fillId="0" borderId="0" xfId="0" applyBorder="1"/>
    <xf numFmtId="0" fontId="0" fillId="0" borderId="0" xfId="0" applyFill="1" applyBorder="1" applyAlignment="1">
      <alignment horizontal="center" vertical="center"/>
    </xf>
    <xf numFmtId="0" fontId="0" fillId="0" borderId="3" xfId="0" applyFill="1" applyBorder="1" applyAlignment="1">
      <alignment horizontal="right"/>
    </xf>
    <xf numFmtId="0" fontId="0" fillId="0" borderId="3" xfId="0" applyFill="1" applyBorder="1" applyAlignment="1">
      <alignment horizontal="center" vertical="center"/>
    </xf>
    <xf numFmtId="0" fontId="2" fillId="0" borderId="13" xfId="0" applyFont="1" applyBorder="1"/>
    <xf numFmtId="9" fontId="0" fillId="0" borderId="10" xfId="0" applyNumberFormat="1" applyBorder="1"/>
    <xf numFmtId="6" fontId="0" fillId="0" borderId="0" xfId="0" applyNumberFormat="1"/>
    <xf numFmtId="164" fontId="0" fillId="0" borderId="0" xfId="0" applyNumberFormat="1" applyAlignment="1">
      <alignment horizontal="right"/>
    </xf>
    <xf numFmtId="164" fontId="0" fillId="0" borderId="0" xfId="0" applyNumberFormat="1" applyAlignment="1">
      <alignment horizontal="center"/>
    </xf>
    <xf numFmtId="166" fontId="0" fillId="0" borderId="0" xfId="0" applyNumberFormat="1"/>
    <xf numFmtId="165" fontId="0" fillId="0" borderId="0" xfId="1" applyNumberFormat="1" applyFont="1"/>
    <xf numFmtId="0" fontId="0" fillId="0" borderId="14" xfId="0" applyBorder="1"/>
    <xf numFmtId="0" fontId="0" fillId="0" borderId="16" xfId="0" applyBorder="1"/>
    <xf numFmtId="165" fontId="2" fillId="0" borderId="0" xfId="1" applyNumberFormat="1" applyFont="1"/>
    <xf numFmtId="0" fontId="2" fillId="0" borderId="18" xfId="0" applyFont="1" applyFill="1" applyBorder="1" applyAlignment="1">
      <alignment horizontal="left"/>
    </xf>
    <xf numFmtId="0" fontId="0" fillId="0" borderId="0" xfId="0" applyAlignment="1">
      <alignment horizontal="center" wrapText="1"/>
    </xf>
    <xf numFmtId="0" fontId="2" fillId="0" borderId="0" xfId="0" applyFont="1" applyBorder="1" applyAlignment="1">
      <alignment horizontal="right"/>
    </xf>
    <xf numFmtId="165" fontId="2" fillId="0" borderId="0" xfId="1" applyNumberFormat="1" applyFont="1" applyBorder="1" applyAlignment="1">
      <alignment horizontal="center"/>
    </xf>
    <xf numFmtId="0" fontId="0" fillId="0" borderId="0" xfId="0" applyAlignment="1">
      <alignment horizontal="center"/>
    </xf>
    <xf numFmtId="0" fontId="7" fillId="0" borderId="0" xfId="4"/>
    <xf numFmtId="0" fontId="0" fillId="0" borderId="0" xfId="0" applyFont="1"/>
    <xf numFmtId="0" fontId="8" fillId="0" borderId="0" xfId="0" applyFont="1"/>
    <xf numFmtId="0" fontId="9" fillId="0" borderId="0" xfId="0" applyFont="1"/>
    <xf numFmtId="169" fontId="2" fillId="0" borderId="1" xfId="1" applyNumberFormat="1" applyFont="1" applyBorder="1" applyAlignment="1">
      <alignment horizontal="center"/>
    </xf>
    <xf numFmtId="0" fontId="6" fillId="0" borderId="0" xfId="0" applyFont="1" applyAlignment="1"/>
    <xf numFmtId="0" fontId="6" fillId="0" borderId="0" xfId="0" applyFont="1" applyAlignment="1">
      <alignment wrapText="1"/>
    </xf>
    <xf numFmtId="0" fontId="5" fillId="0" borderId="0" xfId="0" applyFont="1" applyAlignment="1"/>
    <xf numFmtId="165" fontId="0" fillId="0" borderId="0" xfId="1" applyNumberFormat="1" applyFont="1" applyAlignment="1">
      <alignment horizontal="center"/>
    </xf>
    <xf numFmtId="0" fontId="0" fillId="0" borderId="0" xfId="0" applyFill="1" applyAlignment="1">
      <alignment horizontal="center"/>
    </xf>
    <xf numFmtId="10" fontId="0" fillId="0" borderId="0" xfId="0" applyNumberFormat="1"/>
    <xf numFmtId="0" fontId="0" fillId="0" borderId="0" xfId="0" applyFont="1" applyBorder="1"/>
    <xf numFmtId="6" fontId="0" fillId="0" borderId="0" xfId="0" applyNumberFormat="1" applyBorder="1" applyAlignment="1">
      <alignment horizontal="center"/>
    </xf>
    <xf numFmtId="164" fontId="0" fillId="0" borderId="0" xfId="0" applyNumberFormat="1" applyBorder="1" applyAlignment="1">
      <alignment horizontal="center"/>
    </xf>
    <xf numFmtId="164" fontId="0" fillId="0" borderId="0" xfId="2" applyNumberFormat="1" applyFont="1" applyBorder="1" applyAlignment="1">
      <alignment horizontal="center"/>
    </xf>
    <xf numFmtId="164" fontId="0" fillId="0" borderId="25" xfId="0" applyNumberFormat="1" applyFill="1" applyBorder="1" applyAlignment="1">
      <alignment horizontal="center"/>
    </xf>
    <xf numFmtId="164" fontId="0" fillId="0" borderId="6" xfId="0" applyNumberFormat="1" applyBorder="1" applyAlignment="1">
      <alignment horizontal="center"/>
    </xf>
    <xf numFmtId="164" fontId="0" fillId="0" borderId="9" xfId="0" applyNumberFormat="1" applyBorder="1" applyAlignment="1">
      <alignment horizontal="center"/>
    </xf>
    <xf numFmtId="164" fontId="0" fillId="0" borderId="24" xfId="0" applyNumberFormat="1" applyBorder="1" applyAlignment="1">
      <alignment horizontal="center"/>
    </xf>
    <xf numFmtId="164" fontId="0" fillId="0" borderId="0" xfId="0" applyNumberFormat="1" applyFill="1" applyBorder="1" applyAlignment="1">
      <alignment horizontal="center"/>
    </xf>
    <xf numFmtId="164" fontId="0" fillId="0" borderId="4" xfId="0" applyNumberFormat="1" applyBorder="1" applyAlignment="1">
      <alignment horizontal="center"/>
    </xf>
    <xf numFmtId="164" fontId="0" fillId="0" borderId="23" xfId="0" applyNumberFormat="1" applyFill="1" applyBorder="1" applyAlignment="1">
      <alignment horizontal="center"/>
    </xf>
    <xf numFmtId="164" fontId="2" fillId="0" borderId="1" xfId="0" applyNumberFormat="1" applyFont="1" applyBorder="1" applyAlignment="1">
      <alignment horizontal="center" wrapText="1"/>
    </xf>
    <xf numFmtId="164" fontId="0" fillId="0" borderId="14" xfId="0" applyNumberFormat="1" applyBorder="1" applyAlignment="1">
      <alignment horizontal="center"/>
    </xf>
    <xf numFmtId="164" fontId="0" fillId="0" borderId="15" xfId="0" applyNumberFormat="1" applyBorder="1" applyAlignment="1">
      <alignment horizontal="center"/>
    </xf>
    <xf numFmtId="169" fontId="0" fillId="0" borderId="15" xfId="1" applyNumberFormat="1" applyFont="1" applyFill="1" applyBorder="1" applyAlignment="1">
      <alignment horizontal="center"/>
    </xf>
    <xf numFmtId="169" fontId="0" fillId="0" borderId="15" xfId="1" applyNumberFormat="1" applyFont="1" applyBorder="1" applyAlignment="1">
      <alignment horizontal="center"/>
    </xf>
    <xf numFmtId="164" fontId="0" fillId="0" borderId="16" xfId="0" applyNumberFormat="1" applyBorder="1" applyAlignment="1">
      <alignment horizontal="center"/>
    </xf>
    <xf numFmtId="0" fontId="0" fillId="0" borderId="0" xfId="0" applyBorder="1" applyAlignment="1">
      <alignment horizontal="right" vertical="center"/>
    </xf>
    <xf numFmtId="0" fontId="2" fillId="0" borderId="0" xfId="0" applyFont="1" applyBorder="1" applyAlignment="1">
      <alignment vertical="center" wrapText="1"/>
    </xf>
    <xf numFmtId="164" fontId="0" fillId="0" borderId="0" xfId="0" applyNumberFormat="1" applyBorder="1" applyAlignment="1">
      <alignment horizontal="center" vertical="center"/>
    </xf>
    <xf numFmtId="164" fontId="0" fillId="0" borderId="0" xfId="0" applyNumberFormat="1" applyFill="1" applyBorder="1" applyAlignment="1">
      <alignment horizontal="center" vertical="center"/>
    </xf>
    <xf numFmtId="164" fontId="0" fillId="0" borderId="10"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9" xfId="0" applyNumberFormat="1" applyFill="1" applyBorder="1" applyAlignment="1">
      <alignment horizontal="center" vertical="center"/>
    </xf>
    <xf numFmtId="164" fontId="0" fillId="0" borderId="15" xfId="0" applyNumberFormat="1" applyFill="1" applyBorder="1" applyAlignment="1">
      <alignment horizontal="center" vertical="center"/>
    </xf>
    <xf numFmtId="164" fontId="0" fillId="0" borderId="12" xfId="0" applyNumberFormat="1" applyBorder="1" applyAlignment="1">
      <alignment horizontal="center" vertical="center"/>
    </xf>
    <xf numFmtId="164" fontId="0" fillId="0" borderId="17" xfId="0" applyNumberFormat="1" applyFill="1" applyBorder="1" applyAlignment="1">
      <alignment horizontal="center" vertical="center"/>
    </xf>
    <xf numFmtId="164" fontId="0" fillId="0" borderId="0" xfId="0" applyNumberFormat="1" applyBorder="1" applyAlignment="1">
      <alignment vertical="center"/>
    </xf>
    <xf numFmtId="0" fontId="0" fillId="0" borderId="3" xfId="0" applyBorder="1" applyAlignment="1">
      <alignment horizontal="right" vertical="center"/>
    </xf>
    <xf numFmtId="0" fontId="0" fillId="4" borderId="10" xfId="0" applyFill="1" applyBorder="1" applyAlignment="1">
      <alignment horizontal="right" vertical="center"/>
    </xf>
    <xf numFmtId="6" fontId="0" fillId="0" borderId="10" xfId="0" applyNumberFormat="1" applyBorder="1" applyAlignment="1">
      <alignment horizontal="center"/>
    </xf>
    <xf numFmtId="0" fontId="2" fillId="0" borderId="2" xfId="0" applyFont="1" applyBorder="1" applyAlignment="1">
      <alignment vertical="center"/>
    </xf>
    <xf numFmtId="0" fontId="2" fillId="0" borderId="5" xfId="0" applyFont="1" applyBorder="1" applyAlignment="1">
      <alignment vertical="center" wrapText="1"/>
    </xf>
    <xf numFmtId="0" fontId="2" fillId="0" borderId="7" xfId="0" applyFont="1" applyBorder="1" applyAlignment="1">
      <alignment vertical="center" wrapText="1"/>
    </xf>
    <xf numFmtId="0" fontId="0" fillId="0" borderId="12" xfId="0" applyBorder="1" applyAlignment="1">
      <alignment horizontal="right" vertical="center" wrapText="1"/>
    </xf>
    <xf numFmtId="8" fontId="0" fillId="0" borderId="0" xfId="0" applyNumberFormat="1"/>
    <xf numFmtId="0" fontId="2" fillId="0" borderId="31" xfId="0" applyFont="1" applyBorder="1" applyAlignment="1">
      <alignment horizontal="right"/>
    </xf>
    <xf numFmtId="0" fontId="2" fillId="0" borderId="32" xfId="0" applyFont="1" applyFill="1" applyBorder="1" applyAlignment="1">
      <alignment horizontal="right" vertical="center"/>
    </xf>
    <xf numFmtId="164" fontId="2" fillId="0" borderId="14" xfId="0" applyNumberFormat="1" applyFont="1" applyBorder="1" applyAlignment="1">
      <alignment horizontal="center"/>
    </xf>
    <xf numFmtId="164" fontId="2" fillId="0" borderId="15" xfId="0" applyNumberFormat="1" applyFont="1" applyBorder="1" applyAlignment="1">
      <alignment horizontal="center"/>
    </xf>
    <xf numFmtId="164" fontId="2" fillId="0" borderId="28" xfId="0" applyNumberFormat="1" applyFont="1" applyBorder="1" applyAlignment="1">
      <alignment horizontal="center"/>
    </xf>
    <xf numFmtId="166" fontId="2" fillId="0" borderId="15" xfId="0" applyNumberFormat="1" applyFont="1" applyBorder="1" applyAlignment="1">
      <alignment horizontal="center"/>
    </xf>
    <xf numFmtId="6" fontId="0" fillId="0" borderId="0" xfId="0" applyNumberFormat="1" applyAlignment="1">
      <alignment horizontal="center"/>
    </xf>
    <xf numFmtId="9" fontId="0" fillId="0" borderId="0" xfId="0" applyNumberFormat="1"/>
    <xf numFmtId="3" fontId="0" fillId="0" borderId="0" xfId="0" applyNumberFormat="1"/>
    <xf numFmtId="166" fontId="0" fillId="0" borderId="0" xfId="0" applyNumberFormat="1" applyAlignment="1">
      <alignment horizontal="center"/>
    </xf>
    <xf numFmtId="0" fontId="0" fillId="0" borderId="10" xfId="0" applyBorder="1" applyAlignment="1">
      <alignment horizontal="center" wrapText="1"/>
    </xf>
    <xf numFmtId="0" fontId="0" fillId="0" borderId="10" xfId="0" applyBorder="1"/>
    <xf numFmtId="164" fontId="0" fillId="0" borderId="10" xfId="0" applyNumberFormat="1" applyBorder="1" applyAlignment="1">
      <alignment horizontal="center"/>
    </xf>
    <xf numFmtId="164" fontId="0" fillId="0" borderId="10" xfId="2" applyNumberFormat="1" applyFont="1" applyBorder="1" applyAlignment="1">
      <alignment horizontal="center"/>
    </xf>
    <xf numFmtId="0" fontId="2" fillId="0" borderId="18" xfId="0" applyFont="1" applyBorder="1" applyAlignment="1">
      <alignment horizontal="left"/>
    </xf>
    <xf numFmtId="0" fontId="0" fillId="0" borderId="11" xfId="0" applyBorder="1" applyAlignment="1">
      <alignment horizontal="right"/>
    </xf>
    <xf numFmtId="0" fontId="0" fillId="0" borderId="11" xfId="0" applyBorder="1" applyAlignment="1">
      <alignment horizontal="center" wrapText="1"/>
    </xf>
    <xf numFmtId="164" fontId="0" fillId="0" borderId="11" xfId="0" applyNumberFormat="1" applyBorder="1" applyAlignment="1">
      <alignment horizontal="center" wrapText="1"/>
    </xf>
    <xf numFmtId="0" fontId="0" fillId="0" borderId="12" xfId="0" applyBorder="1" applyAlignment="1">
      <alignment horizontal="right"/>
    </xf>
    <xf numFmtId="6" fontId="0" fillId="0" borderId="12" xfId="0" applyNumberFormat="1" applyBorder="1" applyAlignment="1">
      <alignment horizontal="center"/>
    </xf>
    <xf numFmtId="164" fontId="0" fillId="0" borderId="12" xfId="0" applyNumberFormat="1" applyBorder="1" applyAlignment="1">
      <alignment horizontal="center"/>
    </xf>
    <xf numFmtId="164" fontId="0" fillId="0" borderId="12" xfId="2" applyNumberFormat="1" applyFont="1" applyBorder="1" applyAlignment="1">
      <alignment horizontal="center"/>
    </xf>
    <xf numFmtId="168" fontId="0" fillId="0" borderId="0" xfId="0" applyNumberFormat="1" applyFont="1" applyFill="1" applyAlignment="1">
      <alignment horizontal="center" vertical="center"/>
    </xf>
    <xf numFmtId="0" fontId="0" fillId="0" borderId="0" xfId="0" applyFont="1" applyFill="1" applyAlignment="1">
      <alignment horizontal="center"/>
    </xf>
    <xf numFmtId="0" fontId="0" fillId="0" borderId="0" xfId="0" applyFont="1" applyAlignment="1">
      <alignment horizontal="center"/>
    </xf>
    <xf numFmtId="0" fontId="12" fillId="0" borderId="0" xfId="0" applyFont="1" applyAlignment="1">
      <alignment horizontal="center" vertical="center"/>
    </xf>
    <xf numFmtId="164" fontId="0" fillId="0" borderId="0" xfId="0" applyNumberFormat="1" applyFont="1" applyAlignment="1">
      <alignment horizontal="center" vertical="center"/>
    </xf>
    <xf numFmtId="0" fontId="0" fillId="0" borderId="0" xfId="0" applyFont="1" applyAlignment="1">
      <alignment horizontal="center" vertical="center"/>
    </xf>
    <xf numFmtId="164" fontId="0" fillId="0" borderId="0" xfId="0" applyNumberFormat="1" applyFont="1" applyFill="1" applyAlignment="1">
      <alignment horizontal="center"/>
    </xf>
    <xf numFmtId="166" fontId="0" fillId="0" borderId="0" xfId="0" applyNumberFormat="1" applyFont="1" applyAlignment="1">
      <alignment horizontal="center"/>
    </xf>
    <xf numFmtId="164" fontId="0" fillId="0" borderId="0" xfId="0" applyNumberFormat="1" applyFont="1" applyAlignment="1">
      <alignment horizontal="center"/>
    </xf>
    <xf numFmtId="6" fontId="0" fillId="0" borderId="0" xfId="0" applyNumberFormat="1" applyFont="1" applyAlignment="1">
      <alignment horizontal="center"/>
    </xf>
    <xf numFmtId="164" fontId="1" fillId="0" borderId="0" xfId="1" applyNumberFormat="1" applyFont="1" applyAlignment="1">
      <alignment horizontal="center"/>
    </xf>
    <xf numFmtId="0" fontId="11" fillId="0" borderId="0" xfId="0" applyFont="1" applyAlignment="1">
      <alignment horizontal="center" vertical="center"/>
    </xf>
    <xf numFmtId="164" fontId="0" fillId="0" borderId="20" xfId="0" applyNumberFormat="1" applyFill="1" applyBorder="1" applyAlignment="1">
      <alignment horizontal="center" wrapText="1"/>
    </xf>
    <xf numFmtId="168" fontId="0" fillId="0" borderId="22" xfId="1" applyNumberFormat="1" applyFont="1" applyBorder="1" applyAlignment="1">
      <alignment horizontal="center"/>
    </xf>
    <xf numFmtId="0" fontId="0" fillId="0" borderId="10" xfId="0" applyFont="1" applyBorder="1" applyAlignment="1">
      <alignment horizontal="center" wrapText="1"/>
    </xf>
    <xf numFmtId="0" fontId="0" fillId="0" borderId="10" xfId="0" applyBorder="1" applyAlignment="1">
      <alignment horizontal="center"/>
    </xf>
    <xf numFmtId="164" fontId="0" fillId="0" borderId="17" xfId="0" applyNumberFormat="1" applyFill="1" applyBorder="1" applyAlignment="1">
      <alignment horizontal="center" wrapText="1"/>
    </xf>
    <xf numFmtId="0" fontId="0" fillId="0" borderId="33" xfId="0" applyFont="1" applyBorder="1" applyAlignment="1">
      <alignment horizontal="center" wrapText="1"/>
    </xf>
    <xf numFmtId="0" fontId="0" fillId="0" borderId="10" xfId="0" applyFill="1" applyBorder="1" applyAlignment="1">
      <alignment horizontal="center" wrapText="1"/>
    </xf>
    <xf numFmtId="0" fontId="12" fillId="0" borderId="10" xfId="0" applyFont="1" applyBorder="1" applyAlignment="1">
      <alignment horizontal="center" vertical="center"/>
    </xf>
    <xf numFmtId="166" fontId="6" fillId="0" borderId="10" xfId="0" applyNumberFormat="1" applyFont="1" applyBorder="1" applyAlignment="1">
      <alignment horizontal="center"/>
    </xf>
    <xf numFmtId="168" fontId="0" fillId="0" borderId="34" xfId="0" applyNumberFormat="1" applyFont="1" applyFill="1" applyBorder="1" applyAlignment="1">
      <alignment horizontal="center"/>
    </xf>
    <xf numFmtId="0" fontId="0" fillId="0" borderId="29" xfId="0" applyBorder="1" applyAlignment="1">
      <alignment horizontal="center" wrapText="1"/>
    </xf>
    <xf numFmtId="166" fontId="6" fillId="0" borderId="10" xfId="0" applyNumberFormat="1" applyFont="1" applyBorder="1" applyAlignment="1">
      <alignment horizontal="center" vertical="center"/>
    </xf>
    <xf numFmtId="168" fontId="0" fillId="0" borderId="34" xfId="0" applyNumberFormat="1" applyFont="1" applyFill="1" applyBorder="1" applyAlignment="1">
      <alignment horizontal="center" vertical="center"/>
    </xf>
    <xf numFmtId="0" fontId="0" fillId="0" borderId="10" xfId="0" applyFont="1" applyFill="1" applyBorder="1" applyAlignment="1">
      <alignment horizontal="center"/>
    </xf>
    <xf numFmtId="0" fontId="0" fillId="0" borderId="10" xfId="4" applyFont="1" applyBorder="1" applyAlignment="1">
      <alignment horizontal="center" vertical="center"/>
    </xf>
    <xf numFmtId="0" fontId="12" fillId="0" borderId="10" xfId="0" applyFont="1" applyFill="1" applyBorder="1" applyAlignment="1">
      <alignment horizontal="center"/>
    </xf>
    <xf numFmtId="0" fontId="6" fillId="0" borderId="10" xfId="0" applyFont="1" applyBorder="1" applyAlignment="1">
      <alignment horizontal="center"/>
    </xf>
    <xf numFmtId="0" fontId="12" fillId="0" borderId="10" xfId="0" applyFont="1" applyBorder="1" applyAlignment="1">
      <alignment horizontal="center"/>
    </xf>
    <xf numFmtId="0" fontId="2" fillId="0" borderId="10" xfId="0" applyFont="1" applyBorder="1"/>
    <xf numFmtId="0" fontId="0" fillId="0" borderId="10" xfId="0" applyFill="1" applyBorder="1" applyAlignment="1">
      <alignment horizontal="right"/>
    </xf>
    <xf numFmtId="164" fontId="0" fillId="0" borderId="10" xfId="0" applyNumberFormat="1" applyFill="1" applyBorder="1" applyAlignment="1">
      <alignment horizontal="center"/>
    </xf>
    <xf numFmtId="0" fontId="0" fillId="0" borderId="34" xfId="0" applyFont="1" applyFill="1" applyBorder="1" applyAlignment="1">
      <alignment horizontal="center"/>
    </xf>
    <xf numFmtId="0" fontId="2" fillId="0" borderId="18" xfId="0" applyFont="1" applyBorder="1"/>
    <xf numFmtId="0" fontId="0" fillId="0" borderId="11" xfId="0" applyBorder="1"/>
    <xf numFmtId="164" fontId="0" fillId="0" borderId="15" xfId="0" applyNumberFormat="1" applyFill="1" applyBorder="1" applyAlignment="1">
      <alignment horizontal="center"/>
    </xf>
    <xf numFmtId="0" fontId="0" fillId="0" borderId="12" xfId="0" applyFill="1" applyBorder="1" applyAlignment="1">
      <alignment horizontal="right"/>
    </xf>
    <xf numFmtId="164" fontId="0" fillId="0" borderId="17" xfId="0" applyNumberFormat="1" applyFill="1" applyBorder="1" applyAlignment="1">
      <alignment horizontal="center"/>
    </xf>
    <xf numFmtId="0" fontId="0" fillId="0" borderId="10" xfId="0" applyFont="1" applyBorder="1" applyAlignment="1">
      <alignment horizontal="center"/>
    </xf>
    <xf numFmtId="168" fontId="0" fillId="0" borderId="34" xfId="0" applyNumberFormat="1" applyFont="1" applyBorder="1" applyAlignment="1">
      <alignment horizontal="center"/>
    </xf>
    <xf numFmtId="9" fontId="0" fillId="0" borderId="34" xfId="0" applyNumberFormat="1" applyFont="1" applyBorder="1" applyAlignment="1">
      <alignment horizontal="center"/>
    </xf>
    <xf numFmtId="3" fontId="0" fillId="0" borderId="10" xfId="0" applyNumberFormat="1" applyBorder="1" applyAlignment="1">
      <alignment horizontal="center"/>
    </xf>
    <xf numFmtId="2" fontId="0" fillId="0" borderId="10" xfId="0" applyNumberFormat="1" applyFont="1" applyBorder="1" applyAlignment="1">
      <alignment horizontal="center"/>
    </xf>
    <xf numFmtId="0" fontId="0" fillId="0" borderId="10" xfId="0" applyFont="1" applyFill="1" applyBorder="1"/>
    <xf numFmtId="3" fontId="0" fillId="0" borderId="30" xfId="0" applyNumberFormat="1" applyBorder="1" applyAlignment="1">
      <alignment horizontal="center"/>
    </xf>
    <xf numFmtId="0" fontId="0" fillId="0" borderId="13" xfId="0" applyBorder="1"/>
    <xf numFmtId="0" fontId="0" fillId="0" borderId="21" xfId="0" applyBorder="1"/>
    <xf numFmtId="0" fontId="0" fillId="0" borderId="36" xfId="0" applyBorder="1"/>
    <xf numFmtId="0" fontId="0" fillId="0" borderId="34" xfId="0" applyBorder="1"/>
    <xf numFmtId="0" fontId="0" fillId="0" borderId="37" xfId="0" applyBorder="1"/>
    <xf numFmtId="0" fontId="0" fillId="0" borderId="38" xfId="0" applyBorder="1"/>
    <xf numFmtId="0" fontId="0" fillId="0" borderId="39" xfId="0" applyBorder="1"/>
    <xf numFmtId="167" fontId="0" fillId="0" borderId="37" xfId="0" applyNumberFormat="1" applyBorder="1"/>
    <xf numFmtId="167" fontId="0" fillId="0" borderId="38" xfId="0" applyNumberFormat="1" applyBorder="1"/>
    <xf numFmtId="10" fontId="0" fillId="0" borderId="36" xfId="0" applyNumberFormat="1" applyBorder="1"/>
    <xf numFmtId="10" fontId="0" fillId="0" borderId="34" xfId="0" applyNumberFormat="1" applyBorder="1"/>
    <xf numFmtId="6" fontId="0" fillId="0" borderId="36" xfId="0" applyNumberFormat="1" applyBorder="1"/>
    <xf numFmtId="6" fontId="0" fillId="0" borderId="34" xfId="0" applyNumberFormat="1" applyBorder="1"/>
    <xf numFmtId="9" fontId="2" fillId="0" borderId="21" xfId="0" applyNumberFormat="1" applyFont="1" applyBorder="1"/>
    <xf numFmtId="164" fontId="2" fillId="0" borderId="34" xfId="0" applyNumberFormat="1" applyFont="1" applyBorder="1" applyAlignment="1">
      <alignment horizontal="center"/>
    </xf>
    <xf numFmtId="0" fontId="2" fillId="0" borderId="10" xfId="0" applyFont="1" applyBorder="1" applyAlignment="1">
      <alignment horizontal="center"/>
    </xf>
    <xf numFmtId="0" fontId="2" fillId="0" borderId="29" xfId="0" applyFont="1" applyBorder="1"/>
    <xf numFmtId="9" fontId="0" fillId="0" borderId="21" xfId="0" applyNumberFormat="1" applyBorder="1"/>
    <xf numFmtId="0" fontId="0" fillId="0" borderId="34" xfId="0" applyBorder="1" applyAlignment="1">
      <alignment horizontal="right"/>
    </xf>
    <xf numFmtId="0" fontId="0" fillId="0" borderId="36" xfId="0" applyBorder="1" applyAlignment="1">
      <alignment horizontal="right"/>
    </xf>
    <xf numFmtId="0" fontId="0" fillId="0" borderId="37" xfId="0" applyBorder="1" applyAlignment="1">
      <alignment horizontal="left"/>
    </xf>
    <xf numFmtId="0" fontId="0" fillId="0" borderId="34" xfId="0" applyBorder="1" applyAlignment="1">
      <alignment horizontal="center"/>
    </xf>
    <xf numFmtId="6" fontId="0" fillId="0" borderId="35" xfId="0" applyNumberFormat="1" applyBorder="1" applyAlignment="1"/>
    <xf numFmtId="0" fontId="0" fillId="0" borderId="40" xfId="0" applyBorder="1"/>
    <xf numFmtId="0" fontId="7" fillId="0" borderId="21" xfId="4" applyBorder="1"/>
    <xf numFmtId="6" fontId="0" fillId="0" borderId="36" xfId="0" applyNumberFormat="1" applyBorder="1" applyAlignment="1">
      <alignment horizontal="center"/>
    </xf>
    <xf numFmtId="0" fontId="0" fillId="0" borderId="36" xfId="0" applyBorder="1" applyAlignment="1">
      <alignment horizontal="center"/>
    </xf>
    <xf numFmtId="0" fontId="2" fillId="0" borderId="34" xfId="0" applyFont="1" applyBorder="1" applyAlignment="1">
      <alignment horizontal="right"/>
    </xf>
    <xf numFmtId="168" fontId="2" fillId="0" borderId="10" xfId="1" applyNumberFormat="1" applyFont="1" applyBorder="1" applyAlignment="1">
      <alignment horizontal="center"/>
    </xf>
    <xf numFmtId="0" fontId="0" fillId="3" borderId="20"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22" xfId="0" applyFill="1" applyBorder="1" applyAlignment="1" applyProtection="1">
      <alignment horizontal="center" vertical="center"/>
      <protection locked="0"/>
    </xf>
    <xf numFmtId="0" fontId="0" fillId="5" borderId="10"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169" fontId="0" fillId="6" borderId="14" xfId="1" applyNumberFormat="1" applyFont="1" applyFill="1" applyBorder="1" applyAlignment="1" applyProtection="1">
      <alignment horizontal="center"/>
      <protection locked="0"/>
    </xf>
    <xf numFmtId="0" fontId="0" fillId="0" borderId="42" xfId="0" applyBorder="1"/>
    <xf numFmtId="164" fontId="0" fillId="0" borderId="19" xfId="0" applyNumberFormat="1" applyBorder="1"/>
    <xf numFmtId="164" fontId="0" fillId="0" borderId="15" xfId="0" applyNumberFormat="1" applyBorder="1" applyAlignment="1">
      <alignment horizontal="right"/>
    </xf>
    <xf numFmtId="164" fontId="0" fillId="0" borderId="44" xfId="0" applyNumberFormat="1" applyBorder="1" applyAlignment="1">
      <alignment horizontal="right"/>
    </xf>
    <xf numFmtId="0" fontId="0" fillId="0" borderId="0" xfId="4" applyFont="1"/>
    <xf numFmtId="164" fontId="0" fillId="0" borderId="17" xfId="0" applyNumberFormat="1" applyBorder="1" applyAlignment="1">
      <alignment horizontal="center"/>
    </xf>
    <xf numFmtId="169" fontId="0" fillId="0" borderId="14" xfId="1" applyNumberFormat="1" applyFont="1" applyFill="1" applyBorder="1" applyAlignment="1">
      <alignment horizontal="center"/>
    </xf>
    <xf numFmtId="170" fontId="0" fillId="0" borderId="0" xfId="0" applyNumberFormat="1"/>
    <xf numFmtId="170" fontId="0" fillId="0" borderId="0" xfId="0" applyNumberFormat="1" applyAlignment="1">
      <alignment horizontal="center"/>
    </xf>
    <xf numFmtId="170" fontId="11" fillId="0" borderId="0" xfId="0" applyNumberFormat="1" applyFont="1" applyAlignment="1">
      <alignment horizontal="center" vertical="center"/>
    </xf>
    <xf numFmtId="0" fontId="0" fillId="0" borderId="10" xfId="0" applyBorder="1" applyAlignment="1">
      <alignment horizontal="right" vertical="center"/>
    </xf>
    <xf numFmtId="0" fontId="0" fillId="0" borderId="10" xfId="0" applyFill="1" applyBorder="1" applyAlignment="1">
      <alignment horizontal="right" vertical="center"/>
    </xf>
    <xf numFmtId="164" fontId="0" fillId="0" borderId="46" xfId="0" applyNumberFormat="1" applyBorder="1" applyAlignment="1">
      <alignment horizontal="center"/>
    </xf>
    <xf numFmtId="164" fontId="0" fillId="0" borderId="45" xfId="0" applyNumberFormat="1" applyBorder="1" applyAlignment="1">
      <alignment horizontal="center"/>
    </xf>
    <xf numFmtId="164" fontId="0" fillId="0" borderId="0" xfId="0" applyNumberFormat="1" applyBorder="1" applyAlignment="1">
      <alignment horizontal="right"/>
    </xf>
    <xf numFmtId="164" fontId="2" fillId="0" borderId="15" xfId="0" applyNumberFormat="1" applyFont="1" applyBorder="1" applyAlignment="1">
      <alignment horizontal="right"/>
    </xf>
    <xf numFmtId="167" fontId="0" fillId="0" borderId="0" xfId="0" applyNumberFormat="1"/>
    <xf numFmtId="164" fontId="0" fillId="0" borderId="43" xfId="0" applyNumberFormat="1" applyBorder="1" applyAlignment="1">
      <alignment horizontal="center"/>
    </xf>
    <xf numFmtId="167" fontId="0" fillId="0" borderId="0" xfId="0" applyNumberFormat="1" applyBorder="1"/>
    <xf numFmtId="0" fontId="0" fillId="0" borderId="0" xfId="0" applyBorder="1" applyAlignment="1">
      <alignment horizontal="center"/>
    </xf>
    <xf numFmtId="0" fontId="0" fillId="0" borderId="12" xfId="0" applyBorder="1"/>
    <xf numFmtId="164" fontId="0" fillId="0" borderId="19" xfId="0" applyNumberFormat="1" applyBorder="1" applyAlignment="1">
      <alignment horizontal="center"/>
    </xf>
    <xf numFmtId="168" fontId="0" fillId="0" borderId="15" xfId="1" applyNumberFormat="1" applyFont="1" applyBorder="1" applyAlignment="1">
      <alignment horizontal="center"/>
    </xf>
    <xf numFmtId="164" fontId="0" fillId="0" borderId="44" xfId="0" applyNumberFormat="1" applyBorder="1" applyAlignment="1">
      <alignment horizontal="center"/>
    </xf>
    <xf numFmtId="164" fontId="2" fillId="0" borderId="44" xfId="0" applyNumberFormat="1" applyFont="1" applyBorder="1" applyAlignment="1">
      <alignment horizontal="center"/>
    </xf>
    <xf numFmtId="164" fontId="0" fillId="0" borderId="16" xfId="0" applyNumberFormat="1" applyBorder="1" applyAlignment="1">
      <alignment horizontal="right"/>
    </xf>
    <xf numFmtId="164" fontId="0" fillId="0" borderId="12" xfId="0" applyNumberFormat="1" applyBorder="1" applyAlignment="1">
      <alignment horizontal="right"/>
    </xf>
    <xf numFmtId="164" fontId="6" fillId="0" borderId="0" xfId="0" applyNumberFormat="1" applyFont="1" applyAlignment="1"/>
    <xf numFmtId="167" fontId="6" fillId="0" borderId="0" xfId="0" applyNumberFormat="1" applyFont="1" applyAlignment="1"/>
    <xf numFmtId="166" fontId="6" fillId="0" borderId="0" xfId="0" applyNumberFormat="1" applyFont="1" applyAlignment="1"/>
    <xf numFmtId="164" fontId="2" fillId="0" borderId="47" xfId="0" applyNumberFormat="1" applyFont="1" applyBorder="1" applyAlignment="1">
      <alignment horizontal="center"/>
    </xf>
    <xf numFmtId="0" fontId="0" fillId="0" borderId="49" xfId="0" applyBorder="1" applyAlignment="1">
      <alignment horizontal="right"/>
    </xf>
    <xf numFmtId="164" fontId="0" fillId="0" borderId="21" xfId="0" applyNumberFormat="1" applyBorder="1" applyAlignment="1">
      <alignment horizontal="right"/>
    </xf>
    <xf numFmtId="164" fontId="0" fillId="0" borderId="50" xfId="0" applyNumberFormat="1" applyBorder="1" applyAlignment="1">
      <alignment horizontal="right"/>
    </xf>
    <xf numFmtId="164" fontId="0" fillId="0" borderId="20" xfId="0" applyNumberFormat="1" applyBorder="1"/>
    <xf numFmtId="164" fontId="0" fillId="0" borderId="14" xfId="1" applyNumberFormat="1" applyFont="1" applyFill="1" applyBorder="1" applyAlignment="1" applyProtection="1">
      <alignment horizontal="center"/>
      <protection locked="0"/>
    </xf>
    <xf numFmtId="164" fontId="0" fillId="0" borderId="15" xfId="1" applyNumberFormat="1" applyFont="1" applyFill="1" applyBorder="1" applyAlignment="1" applyProtection="1">
      <alignment horizontal="center"/>
      <protection locked="0"/>
    </xf>
    <xf numFmtId="164" fontId="0" fillId="0" borderId="42" xfId="0" applyNumberFormat="1" applyBorder="1" applyAlignment="1">
      <alignment horizontal="center"/>
    </xf>
    <xf numFmtId="164" fontId="0" fillId="0" borderId="16" xfId="1" applyNumberFormat="1" applyFont="1" applyFill="1" applyBorder="1" applyAlignment="1" applyProtection="1">
      <alignment horizontal="center"/>
      <protection locked="0"/>
    </xf>
    <xf numFmtId="164" fontId="0" fillId="0" borderId="17" xfId="1" applyNumberFormat="1" applyFont="1" applyFill="1" applyBorder="1" applyAlignment="1" applyProtection="1">
      <alignment horizontal="center"/>
      <protection locked="0"/>
    </xf>
    <xf numFmtId="0" fontId="0" fillId="0" borderId="0" xfId="0" applyFill="1" applyAlignment="1">
      <alignment horizontal="right"/>
    </xf>
    <xf numFmtId="0" fontId="0" fillId="0" borderId="0" xfId="0" applyFill="1"/>
    <xf numFmtId="6" fontId="0" fillId="0" borderId="0" xfId="0" applyNumberFormat="1" applyFill="1" applyBorder="1" applyAlignment="1">
      <alignment horizontal="center"/>
    </xf>
    <xf numFmtId="0" fontId="0" fillId="0" borderId="10"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165" fontId="2" fillId="0" borderId="0" xfId="1" applyNumberFormat="1" applyFont="1" applyFill="1" applyBorder="1" applyAlignment="1">
      <alignment horizontal="center"/>
    </xf>
    <xf numFmtId="164" fontId="0" fillId="0" borderId="51" xfId="0" applyNumberFormat="1" applyFill="1" applyBorder="1"/>
    <xf numFmtId="164" fontId="0" fillId="0" borderId="36" xfId="0" applyNumberFormat="1" applyFill="1" applyBorder="1" applyAlignment="1">
      <alignment horizontal="right"/>
    </xf>
    <xf numFmtId="164" fontId="0" fillId="0" borderId="8" xfId="0" applyNumberFormat="1" applyFill="1" applyBorder="1" applyAlignment="1">
      <alignment horizontal="right"/>
    </xf>
    <xf numFmtId="164" fontId="0" fillId="0" borderId="0" xfId="0" applyNumberFormat="1" applyFill="1"/>
    <xf numFmtId="164" fontId="0" fillId="0" borderId="20" xfId="0" applyNumberFormat="1" applyFill="1" applyBorder="1" applyAlignment="1">
      <alignment horizontal="right"/>
    </xf>
    <xf numFmtId="164" fontId="0" fillId="0" borderId="37" xfId="0" applyNumberFormat="1" applyFill="1" applyBorder="1" applyAlignment="1">
      <alignment horizontal="right"/>
    </xf>
    <xf numFmtId="164" fontId="0" fillId="0" borderId="22" xfId="0" applyNumberFormat="1" applyFill="1" applyBorder="1" applyAlignment="1">
      <alignment horizontal="right"/>
    </xf>
    <xf numFmtId="164" fontId="2" fillId="0" borderId="50" xfId="0" applyNumberFormat="1" applyFont="1" applyFill="1" applyBorder="1" applyAlignment="1">
      <alignment horizontal="right"/>
    </xf>
    <xf numFmtId="0" fontId="2" fillId="0" borderId="27" xfId="0" applyFont="1" applyBorder="1" applyAlignment="1">
      <alignment horizontal="left"/>
    </xf>
    <xf numFmtId="0" fontId="0" fillId="0" borderId="45" xfId="0" applyBorder="1"/>
    <xf numFmtId="0" fontId="0" fillId="0" borderId="18" xfId="0" applyBorder="1" applyAlignment="1">
      <alignment horizontal="right"/>
    </xf>
    <xf numFmtId="0" fontId="0" fillId="0" borderId="3" xfId="0" applyBorder="1" applyAlignment="1">
      <alignment horizontal="center" wrapText="1"/>
    </xf>
    <xf numFmtId="0" fontId="0" fillId="0" borderId="16" xfId="0" applyBorder="1" applyAlignment="1">
      <alignment horizontal="right"/>
    </xf>
    <xf numFmtId="0" fontId="0" fillId="0" borderId="12" xfId="0" applyBorder="1" applyAlignment="1">
      <alignment horizontal="center"/>
    </xf>
    <xf numFmtId="0" fontId="0" fillId="0" borderId="34" xfId="0" applyBorder="1" applyAlignment="1">
      <alignment horizontal="center" wrapText="1"/>
    </xf>
    <xf numFmtId="0" fontId="0" fillId="0" borderId="52" xfId="0" applyBorder="1" applyAlignment="1">
      <alignment horizontal="center" wrapText="1"/>
    </xf>
    <xf numFmtId="0" fontId="0" fillId="0" borderId="33" xfId="0" applyBorder="1" applyAlignment="1">
      <alignment horizontal="center" wrapText="1"/>
    </xf>
    <xf numFmtId="0" fontId="0" fillId="0" borderId="29" xfId="0" applyBorder="1" applyAlignment="1">
      <alignment horizontal="right"/>
    </xf>
    <xf numFmtId="0" fontId="0" fillId="0" borderId="29" xfId="0" applyFill="1" applyBorder="1"/>
    <xf numFmtId="0" fontId="2" fillId="0" borderId="37" xfId="0" applyFont="1" applyBorder="1"/>
    <xf numFmtId="6" fontId="0" fillId="0" borderId="51" xfId="0" applyNumberFormat="1" applyBorder="1" applyAlignment="1">
      <alignment horizontal="center"/>
    </xf>
    <xf numFmtId="0" fontId="0" fillId="0" borderId="53" xfId="0" applyBorder="1"/>
    <xf numFmtId="164" fontId="0" fillId="0" borderId="35" xfId="0" applyNumberFormat="1" applyBorder="1" applyAlignment="1">
      <alignment horizontal="right"/>
    </xf>
    <xf numFmtId="164" fontId="0" fillId="0" borderId="54" xfId="0" applyNumberFormat="1" applyFill="1" applyBorder="1" applyAlignment="1">
      <alignment horizontal="right"/>
    </xf>
    <xf numFmtId="164" fontId="0" fillId="0" borderId="55" xfId="0" applyNumberFormat="1" applyFill="1" applyBorder="1" applyAlignment="1">
      <alignment horizontal="right"/>
    </xf>
    <xf numFmtId="0" fontId="0" fillId="0" borderId="56" xfId="0" applyBorder="1"/>
    <xf numFmtId="164" fontId="2" fillId="0" borderId="27" xfId="0" applyNumberFormat="1" applyFont="1" applyBorder="1" applyAlignment="1">
      <alignment horizontal="center"/>
    </xf>
    <xf numFmtId="164" fontId="2" fillId="0" borderId="26" xfId="0" applyNumberFormat="1" applyFont="1" applyBorder="1" applyAlignment="1">
      <alignment horizontal="center"/>
    </xf>
    <xf numFmtId="164" fontId="0" fillId="0" borderId="14" xfId="0" applyNumberFormat="1" applyBorder="1" applyAlignment="1">
      <alignment horizontal="right"/>
    </xf>
    <xf numFmtId="164" fontId="0" fillId="0" borderId="10" xfId="0" applyNumberFormat="1" applyBorder="1" applyAlignment="1">
      <alignment horizontal="right"/>
    </xf>
    <xf numFmtId="164" fontId="0" fillId="0" borderId="16" xfId="0" applyNumberFormat="1" applyBorder="1" applyAlignment="1">
      <alignment horizontal="right"/>
    </xf>
    <xf numFmtId="164" fontId="0" fillId="0" borderId="12" xfId="0" applyNumberFormat="1" applyBorder="1" applyAlignment="1">
      <alignment horizontal="right"/>
    </xf>
    <xf numFmtId="164" fontId="2" fillId="0" borderId="5" xfId="0" applyNumberFormat="1" applyFont="1" applyBorder="1" applyAlignment="1">
      <alignment horizontal="right"/>
    </xf>
    <xf numFmtId="164" fontId="2" fillId="0" borderId="48" xfId="0" applyNumberFormat="1" applyFont="1" applyBorder="1" applyAlignment="1">
      <alignment horizontal="right"/>
    </xf>
    <xf numFmtId="0" fontId="2" fillId="0" borderId="0" xfId="0" applyFont="1" applyBorder="1" applyAlignment="1">
      <alignment horizontal="left"/>
    </xf>
    <xf numFmtId="164" fontId="0" fillId="0" borderId="18" xfId="0" applyNumberFormat="1" applyBorder="1" applyAlignment="1">
      <alignment horizontal="right"/>
    </xf>
    <xf numFmtId="164" fontId="0" fillId="0" borderId="11" xfId="0" applyNumberFormat="1" applyBorder="1" applyAlignment="1">
      <alignment horizontal="right"/>
    </xf>
    <xf numFmtId="164" fontId="0" fillId="0" borderId="41" xfId="0" applyNumberFormat="1" applyBorder="1" applyAlignment="1">
      <alignment horizontal="right"/>
    </xf>
    <xf numFmtId="164" fontId="0" fillId="0" borderId="29" xfId="0" applyNumberFormat="1" applyBorder="1" applyAlignment="1">
      <alignment horizontal="right"/>
    </xf>
    <xf numFmtId="164" fontId="2" fillId="0" borderId="42" xfId="0" applyNumberFormat="1" applyFont="1" applyBorder="1" applyAlignment="1">
      <alignment horizontal="right"/>
    </xf>
    <xf numFmtId="164" fontId="2" fillId="0" borderId="49" xfId="0" applyNumberFormat="1" applyFont="1" applyBorder="1" applyAlignment="1">
      <alignment horizontal="right"/>
    </xf>
    <xf numFmtId="0" fontId="0" fillId="0" borderId="16" xfId="0" applyBorder="1" applyAlignment="1">
      <alignment horizontal="right" vertical="center"/>
    </xf>
    <xf numFmtId="0" fontId="0" fillId="0" borderId="12" xfId="0" applyBorder="1" applyAlignment="1">
      <alignment horizontal="right" vertical="center"/>
    </xf>
    <xf numFmtId="0" fontId="0" fillId="0" borderId="18" xfId="0" applyBorder="1" applyAlignment="1">
      <alignment horizontal="right" vertical="center" wrapText="1"/>
    </xf>
    <xf numFmtId="0" fontId="0" fillId="0" borderId="11" xfId="0" applyBorder="1" applyAlignment="1">
      <alignment horizontal="right" vertical="center" wrapText="1"/>
    </xf>
    <xf numFmtId="0" fontId="0" fillId="0" borderId="14" xfId="0" applyBorder="1" applyAlignment="1">
      <alignment horizontal="right" vertical="center"/>
    </xf>
    <xf numFmtId="0" fontId="0" fillId="0" borderId="10" xfId="0" applyBorder="1" applyAlignment="1">
      <alignment horizontal="right" vertical="center"/>
    </xf>
    <xf numFmtId="0" fontId="0" fillId="0" borderId="14" xfId="0" applyFill="1" applyBorder="1" applyAlignment="1">
      <alignment horizontal="right" vertical="center"/>
    </xf>
    <xf numFmtId="0" fontId="0" fillId="0" borderId="10" xfId="0" applyFill="1" applyBorder="1" applyAlignment="1">
      <alignment horizontal="right" vertical="center"/>
    </xf>
  </cellXfs>
  <cellStyles count="5">
    <cellStyle name="Currency" xfId="2" builtinId="4"/>
    <cellStyle name="Hyperlink" xfId="4" builtinId="8"/>
    <cellStyle name="Normal" xfId="0" builtinId="0"/>
    <cellStyle name="Normal 2" xfId="3" xr:uid="{0DF55772-7EE3-43E5-B60F-C50259A00C2D}"/>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981076</xdr:colOff>
      <xdr:row>0</xdr:row>
      <xdr:rowOff>76200</xdr:rowOff>
    </xdr:from>
    <xdr:to>
      <xdr:col>11</xdr:col>
      <xdr:colOff>542926</xdr:colOff>
      <xdr:row>4</xdr:row>
      <xdr:rowOff>38100</xdr:rowOff>
    </xdr:to>
    <xdr:sp macro="" textlink="">
      <xdr:nvSpPr>
        <xdr:cNvPr id="3" name="TextBox 2">
          <a:extLst>
            <a:ext uri="{FF2B5EF4-FFF2-40B4-BE49-F238E27FC236}">
              <a16:creationId xmlns:a16="http://schemas.microsoft.com/office/drawing/2014/main" id="{23166131-228D-4E6F-92B6-B737B299783A}"/>
            </a:ext>
          </a:extLst>
        </xdr:cNvPr>
        <xdr:cNvSpPr txBox="1"/>
      </xdr:nvSpPr>
      <xdr:spPr>
        <a:xfrm>
          <a:off x="7258051" y="76200"/>
          <a:ext cx="6076950" cy="7239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Sales &amp; Provider Tax Calculator was developed by Commissioner Bram Kleppner of the Tax Structure Commission to ac</a:t>
          </a:r>
          <a:r>
            <a:rPr lang="en-US" sz="1100" u="none">
              <a:solidFill>
                <a:schemeClr val="dk1"/>
              </a:solidFill>
              <a:effectLst/>
              <a:latin typeface="+mn-lt"/>
              <a:ea typeface="+mn-ea"/>
              <a:cs typeface="+mn-cs"/>
            </a:rPr>
            <a:t>company the Commission’s 2021 report </a:t>
          </a:r>
          <a:r>
            <a:rPr lang="en-US" sz="1100">
              <a:solidFill>
                <a:schemeClr val="dk1"/>
              </a:solidFill>
              <a:effectLst/>
              <a:latin typeface="+mn-lt"/>
              <a:ea typeface="+mn-ea"/>
              <a:cs typeface="+mn-cs"/>
            </a:rPr>
            <a:t>to the Vermont</a:t>
          </a:r>
          <a:r>
            <a:rPr lang="en-US" sz="1100" baseline="0">
              <a:solidFill>
                <a:schemeClr val="dk1"/>
              </a:solidFill>
              <a:effectLst/>
              <a:latin typeface="+mn-lt"/>
              <a:ea typeface="+mn-ea"/>
              <a:cs typeface="+mn-cs"/>
            </a:rPr>
            <a:t> General Assembly</a:t>
          </a:r>
          <a:r>
            <a:rPr lang="en-US" sz="1100">
              <a:solidFill>
                <a:schemeClr val="dk1"/>
              </a:solidFill>
              <a:effectLst/>
              <a:latin typeface="+mn-lt"/>
              <a:ea typeface="+mn-ea"/>
              <a:cs typeface="+mn-cs"/>
            </a:rPr>
            <a:t>.  The figures and analysis have not been verified by the Legislative Joint Fiscal Office.</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476249</xdr:colOff>
      <xdr:row>0</xdr:row>
      <xdr:rowOff>0</xdr:rowOff>
    </xdr:from>
    <xdr:to>
      <xdr:col>12</xdr:col>
      <xdr:colOff>736022</xdr:colOff>
      <xdr:row>2</xdr:row>
      <xdr:rowOff>184006</xdr:rowOff>
    </xdr:to>
    <xdr:sp macro="" textlink="">
      <xdr:nvSpPr>
        <xdr:cNvPr id="2" name="TextBox 1">
          <a:extLst>
            <a:ext uri="{FF2B5EF4-FFF2-40B4-BE49-F238E27FC236}">
              <a16:creationId xmlns:a16="http://schemas.microsoft.com/office/drawing/2014/main" id="{45ADDBB8-DA1D-424E-9333-AFA2E751CB05}"/>
            </a:ext>
          </a:extLst>
        </xdr:cNvPr>
        <xdr:cNvSpPr txBox="1"/>
      </xdr:nvSpPr>
      <xdr:spPr>
        <a:xfrm>
          <a:off x="5725823" y="0"/>
          <a:ext cx="8680739" cy="57366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Sales &amp; Provider Tax Calculator was developed by Commissioner Bram Kleppner of the Tax Structure Commission to ac</a:t>
          </a:r>
          <a:r>
            <a:rPr lang="en-US" sz="1100" u="none">
              <a:solidFill>
                <a:schemeClr val="dk1"/>
              </a:solidFill>
              <a:effectLst/>
              <a:latin typeface="+mn-lt"/>
              <a:ea typeface="+mn-ea"/>
              <a:cs typeface="+mn-cs"/>
            </a:rPr>
            <a:t>company the Commission’s 2021 report </a:t>
          </a:r>
          <a:r>
            <a:rPr lang="en-US" sz="1100">
              <a:solidFill>
                <a:schemeClr val="dk1"/>
              </a:solidFill>
              <a:effectLst/>
              <a:latin typeface="+mn-lt"/>
              <a:ea typeface="+mn-ea"/>
              <a:cs typeface="+mn-cs"/>
            </a:rPr>
            <a:t>to the Vermont</a:t>
          </a:r>
          <a:r>
            <a:rPr lang="en-US" sz="1100" baseline="0">
              <a:solidFill>
                <a:schemeClr val="dk1"/>
              </a:solidFill>
              <a:effectLst/>
              <a:latin typeface="+mn-lt"/>
              <a:ea typeface="+mn-ea"/>
              <a:cs typeface="+mn-cs"/>
            </a:rPr>
            <a:t> General Assembly</a:t>
          </a:r>
          <a:r>
            <a:rPr lang="en-US" sz="1100">
              <a:solidFill>
                <a:schemeClr val="dk1"/>
              </a:solidFill>
              <a:effectLst/>
              <a:latin typeface="+mn-lt"/>
              <a:ea typeface="+mn-ea"/>
              <a:cs typeface="+mn-cs"/>
            </a:rPr>
            <a:t>.  The figures and analysis have not been verified by the Legislative Joint Fiscal Office.</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ccd.vermont.gov/sites/accdnew/files/documents/DED/CEDS/CEDS2020FullReport.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rand.org/content/dam/rand/pubs/research_reports/RR900/RR901/RAND_RR901.pdf,%20p%2029:%20Table%204.3.%20Average%20Payments%20for%20Health%20Care%20Per%20Capita,%20by%20Family%20Income%20Level,%202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DEBCF-EF80-4D51-9BCD-19CC40FA5F9B}">
  <dimension ref="B1:U85"/>
  <sheetViews>
    <sheetView tabSelected="1" workbookViewId="0">
      <selection activeCell="K6" sqref="K6"/>
    </sheetView>
  </sheetViews>
  <sheetFormatPr defaultRowHeight="15" x14ac:dyDescent="0.25"/>
  <cols>
    <col min="1" max="1" width="1.5703125" customWidth="1"/>
    <col min="2" max="2" width="7.42578125" customWidth="1"/>
    <col min="3" max="3" width="72.7109375" customWidth="1"/>
    <col min="4" max="4" width="14" customWidth="1"/>
    <col min="5" max="5" width="15.85546875" customWidth="1"/>
    <col min="6" max="6" width="16.7109375" customWidth="1"/>
    <col min="7" max="7" width="14.85546875" customWidth="1"/>
    <col min="8" max="8" width="14.7109375" style="30" customWidth="1"/>
    <col min="9" max="9" width="14.7109375" customWidth="1"/>
    <col min="10" max="10" width="10.85546875" style="30" customWidth="1"/>
    <col min="11" max="11" width="10" style="30" customWidth="1"/>
    <col min="12" max="12" width="13.28515625" customWidth="1"/>
    <col min="14" max="14" width="15" bestFit="1" customWidth="1"/>
    <col min="15" max="15" width="13.42578125" bestFit="1" customWidth="1"/>
  </cols>
  <sheetData>
    <row r="1" spans="2:16" x14ac:dyDescent="0.25">
      <c r="B1" s="7" t="s">
        <v>24</v>
      </c>
      <c r="D1" s="1"/>
      <c r="E1" s="2"/>
      <c r="F1" s="2"/>
    </row>
    <row r="2" spans="2:16" x14ac:dyDescent="0.25">
      <c r="D2" s="1"/>
      <c r="E2" s="2"/>
      <c r="F2" s="2"/>
      <c r="G2" s="2"/>
    </row>
    <row r="3" spans="2:16" x14ac:dyDescent="0.25">
      <c r="B3" s="7" t="s">
        <v>0</v>
      </c>
      <c r="D3" s="1"/>
      <c r="E3" s="2"/>
      <c r="F3" s="2"/>
      <c r="G3" s="2"/>
    </row>
    <row r="4" spans="2:16" x14ac:dyDescent="0.25">
      <c r="B4" s="3" t="s">
        <v>155</v>
      </c>
    </row>
    <row r="5" spans="2:16" x14ac:dyDescent="0.25">
      <c r="B5" s="3" t="s">
        <v>156</v>
      </c>
    </row>
    <row r="6" spans="2:16" x14ac:dyDescent="0.25">
      <c r="B6" s="3" t="s">
        <v>157</v>
      </c>
    </row>
    <row r="7" spans="2:16" x14ac:dyDescent="0.25">
      <c r="B7" s="3" t="s">
        <v>158</v>
      </c>
    </row>
    <row r="8" spans="2:16" x14ac:dyDescent="0.25">
      <c r="B8" s="3" t="s">
        <v>159</v>
      </c>
      <c r="K8" s="87"/>
    </row>
    <row r="9" spans="2:16" x14ac:dyDescent="0.25">
      <c r="C9" t="s">
        <v>160</v>
      </c>
    </row>
    <row r="10" spans="2:16" ht="14.45" customHeight="1" x14ac:dyDescent="0.25">
      <c r="B10" s="3" t="s">
        <v>161</v>
      </c>
      <c r="C10" s="1"/>
    </row>
    <row r="11" spans="2:16" ht="15.75" thickBot="1" x14ac:dyDescent="0.3">
      <c r="C11" s="1"/>
      <c r="E11" s="2"/>
      <c r="F11" s="2"/>
      <c r="G11" s="2"/>
      <c r="H11" s="20"/>
      <c r="K11" s="27"/>
    </row>
    <row r="12" spans="2:16" ht="45" x14ac:dyDescent="0.25">
      <c r="B12" s="92" t="s">
        <v>7</v>
      </c>
      <c r="C12" s="93"/>
      <c r="D12" s="94" t="s">
        <v>14</v>
      </c>
      <c r="E12" s="95" t="s">
        <v>15</v>
      </c>
      <c r="F12" s="95" t="s">
        <v>92</v>
      </c>
      <c r="G12" s="117" t="s">
        <v>100</v>
      </c>
      <c r="J12"/>
      <c r="K12"/>
    </row>
    <row r="13" spans="2:16" ht="13.15" customHeight="1" thickBot="1" x14ac:dyDescent="0.3">
      <c r="B13" s="24"/>
      <c r="C13" s="96"/>
      <c r="D13" s="97">
        <f>E13*0.06</f>
        <v>419459875.2234</v>
      </c>
      <c r="E13" s="98">
        <v>6990997920.3900003</v>
      </c>
      <c r="F13" s="98">
        <f>E13*(1+(0.06-E36))</f>
        <v>7176419599.2001381</v>
      </c>
      <c r="G13" s="116" t="s">
        <v>13</v>
      </c>
      <c r="J13"/>
      <c r="K13"/>
    </row>
    <row r="14" spans="2:16" ht="13.15" customHeight="1" x14ac:dyDescent="0.25">
      <c r="B14" s="12"/>
      <c r="C14" s="4"/>
      <c r="D14" s="43"/>
      <c r="E14" s="44"/>
      <c r="F14" s="44"/>
      <c r="G14" s="45"/>
      <c r="H14" s="39"/>
    </row>
    <row r="15" spans="2:16" ht="7.15" customHeight="1" thickBot="1" x14ac:dyDescent="0.3">
      <c r="E15" s="30"/>
      <c r="F15" s="30"/>
      <c r="G15" s="30"/>
      <c r="H15" s="40"/>
      <c r="I15" s="101"/>
      <c r="J15" s="101"/>
      <c r="K15" s="102"/>
    </row>
    <row r="16" spans="2:16" ht="105" x14ac:dyDescent="0.25">
      <c r="B16" s="134" t="s">
        <v>135</v>
      </c>
      <c r="C16" s="135"/>
      <c r="D16" s="135"/>
      <c r="E16" s="243" t="s">
        <v>25</v>
      </c>
      <c r="F16" s="243" t="s">
        <v>30</v>
      </c>
      <c r="G16" s="243" t="s">
        <v>136</v>
      </c>
      <c r="H16" s="244" t="s">
        <v>137</v>
      </c>
      <c r="I16" s="242" t="s">
        <v>9</v>
      </c>
      <c r="J16" s="114" t="s">
        <v>100</v>
      </c>
      <c r="K16" s="114" t="s">
        <v>96</v>
      </c>
      <c r="L16" s="118" t="s">
        <v>97</v>
      </c>
      <c r="N16" s="198">
        <f>SUM(N17:N33)</f>
        <v>1362177360</v>
      </c>
      <c r="O16" s="2">
        <f>SUM(E17:E33)</f>
        <v>5538765000</v>
      </c>
      <c r="P16">
        <f>N16/O16</f>
        <v>0.24593521479968911</v>
      </c>
    </row>
    <row r="17" spans="2:21" x14ac:dyDescent="0.25">
      <c r="B17" s="23"/>
      <c r="C17" s="131" t="s">
        <v>101</v>
      </c>
      <c r="D17" s="179" t="s">
        <v>130</v>
      </c>
      <c r="E17" s="132">
        <v>984600000</v>
      </c>
      <c r="F17" s="132">
        <f>E17*(1-I17)</f>
        <v>813279600.00000012</v>
      </c>
      <c r="G17" s="132">
        <f>E17*(1-(0.7*E36))</f>
        <v>961526926.94679701</v>
      </c>
      <c r="H17" s="136">
        <f>G17*(1-I17)</f>
        <v>794221241.65805435</v>
      </c>
      <c r="I17" s="121">
        <v>0.17399999999999999</v>
      </c>
      <c r="J17" s="126" t="s">
        <v>95</v>
      </c>
      <c r="K17" s="127" t="s">
        <v>16</v>
      </c>
      <c r="L17" s="128" t="s">
        <v>167</v>
      </c>
      <c r="M17" s="36"/>
      <c r="N17" s="210">
        <f>E17*I17</f>
        <v>171320400</v>
      </c>
      <c r="O17" s="36"/>
      <c r="P17" s="36"/>
      <c r="Q17" s="36"/>
      <c r="R17" s="36"/>
      <c r="S17" s="36"/>
      <c r="T17" s="36"/>
      <c r="U17" s="36"/>
    </row>
    <row r="18" spans="2:21" x14ac:dyDescent="0.25">
      <c r="B18" s="23"/>
      <c r="C18" s="131" t="s">
        <v>102</v>
      </c>
      <c r="D18" s="179" t="s">
        <v>130</v>
      </c>
      <c r="E18" s="90">
        <v>316000000</v>
      </c>
      <c r="F18" s="132">
        <f t="shared" ref="F18:F25" si="0">E18*(1-I18)</f>
        <v>243636000</v>
      </c>
      <c r="G18" s="90">
        <f>E18*(1-E$36)</f>
        <v>305421242.73118579</v>
      </c>
      <c r="H18" s="136">
        <f t="shared" ref="H18:H26" si="1">G18*(1-I18)</f>
        <v>235479778.14574426</v>
      </c>
      <c r="I18" s="121">
        <v>0.22900000000000001</v>
      </c>
      <c r="J18" s="126" t="s">
        <v>185</v>
      </c>
      <c r="K18" s="129" t="s">
        <v>164</v>
      </c>
      <c r="L18" s="128" t="s">
        <v>167</v>
      </c>
      <c r="M18" s="36"/>
      <c r="N18" s="210">
        <f t="shared" ref="N18:N33" si="2">E18*I18</f>
        <v>72364000</v>
      </c>
      <c r="O18" s="36"/>
      <c r="P18" s="36"/>
      <c r="Q18" s="36"/>
      <c r="R18" s="36"/>
      <c r="S18" s="36"/>
      <c r="T18" s="36"/>
      <c r="U18" s="36"/>
    </row>
    <row r="19" spans="2:21" x14ac:dyDescent="0.25">
      <c r="B19" s="23"/>
      <c r="C19" s="131" t="s">
        <v>110</v>
      </c>
      <c r="D19" s="179" t="s">
        <v>130</v>
      </c>
      <c r="E19" s="90">
        <v>283333000</v>
      </c>
      <c r="F19" s="132">
        <f t="shared" si="0"/>
        <v>223549737</v>
      </c>
      <c r="G19" s="90">
        <f t="shared" ref="G19:G26" si="3">E19*(1-E$36)</f>
        <v>273847838.50238943</v>
      </c>
      <c r="H19" s="136">
        <f t="shared" si="1"/>
        <v>216065944.57838526</v>
      </c>
      <c r="I19" s="121">
        <v>0.21099999999999999</v>
      </c>
      <c r="J19" s="115" t="s">
        <v>188</v>
      </c>
      <c r="K19" s="129" t="s">
        <v>164</v>
      </c>
      <c r="L19" s="125" t="s">
        <v>94</v>
      </c>
      <c r="N19" s="210">
        <f t="shared" si="2"/>
        <v>59783263</v>
      </c>
    </row>
    <row r="20" spans="2:21" x14ac:dyDescent="0.25">
      <c r="B20" s="23"/>
      <c r="C20" s="131" t="s">
        <v>109</v>
      </c>
      <c r="D20" s="179" t="s">
        <v>130</v>
      </c>
      <c r="E20" s="90">
        <v>143333000</v>
      </c>
      <c r="F20" s="132">
        <f t="shared" si="0"/>
        <v>113089737</v>
      </c>
      <c r="G20" s="90">
        <f t="shared" si="3"/>
        <v>138534629.69743371</v>
      </c>
      <c r="H20" s="136">
        <f t="shared" si="1"/>
        <v>109303822.83127519</v>
      </c>
      <c r="I20" s="121">
        <v>0.21099999999999999</v>
      </c>
      <c r="J20" s="115" t="s">
        <v>191</v>
      </c>
      <c r="K20" s="129" t="s">
        <v>164</v>
      </c>
      <c r="L20" s="125" t="s">
        <v>94</v>
      </c>
      <c r="N20" s="210">
        <f t="shared" si="2"/>
        <v>30243263</v>
      </c>
    </row>
    <row r="21" spans="2:21" x14ac:dyDescent="0.25">
      <c r="B21" s="23"/>
      <c r="C21" s="131" t="s">
        <v>17</v>
      </c>
      <c r="D21" s="179" t="s">
        <v>130</v>
      </c>
      <c r="E21" s="90">
        <v>133333000</v>
      </c>
      <c r="F21" s="132">
        <f t="shared" si="0"/>
        <v>105199737</v>
      </c>
      <c r="G21" s="90">
        <f t="shared" si="3"/>
        <v>128869400.49707973</v>
      </c>
      <c r="H21" s="136">
        <f t="shared" si="1"/>
        <v>101677956.9921959</v>
      </c>
      <c r="I21" s="121">
        <v>0.21099999999999999</v>
      </c>
      <c r="J21" s="115" t="s">
        <v>192</v>
      </c>
      <c r="K21" s="129" t="s">
        <v>164</v>
      </c>
      <c r="L21" s="125" t="s">
        <v>94</v>
      </c>
      <c r="N21" s="210">
        <f t="shared" si="2"/>
        <v>28133263</v>
      </c>
    </row>
    <row r="22" spans="2:21" x14ac:dyDescent="0.25">
      <c r="B22" s="23"/>
      <c r="C22" s="131" t="s">
        <v>104</v>
      </c>
      <c r="D22" s="179" t="s">
        <v>130</v>
      </c>
      <c r="E22" s="90">
        <v>125000000</v>
      </c>
      <c r="F22" s="132">
        <f t="shared" si="0"/>
        <v>95875000</v>
      </c>
      <c r="G22" s="90">
        <f t="shared" si="3"/>
        <v>120815365.00442477</v>
      </c>
      <c r="H22" s="136">
        <f t="shared" si="1"/>
        <v>92665384.958393797</v>
      </c>
      <c r="I22" s="121">
        <v>0.23300000000000001</v>
      </c>
      <c r="J22" s="115" t="s">
        <v>186</v>
      </c>
      <c r="K22" s="129" t="s">
        <v>164</v>
      </c>
      <c r="L22" s="126" t="s">
        <v>167</v>
      </c>
      <c r="M22" s="36"/>
      <c r="N22" s="210">
        <f t="shared" si="2"/>
        <v>29125000</v>
      </c>
      <c r="O22" s="36"/>
      <c r="P22" s="36"/>
      <c r="Q22" s="36"/>
      <c r="R22" s="36"/>
      <c r="S22" s="36"/>
      <c r="T22" s="36"/>
      <c r="U22" s="36"/>
    </row>
    <row r="23" spans="2:21" x14ac:dyDescent="0.25">
      <c r="B23" s="23"/>
      <c r="C23" s="131" t="s">
        <v>105</v>
      </c>
      <c r="D23" s="179" t="s">
        <v>130</v>
      </c>
      <c r="E23" s="90">
        <v>83333000</v>
      </c>
      <c r="F23" s="132">
        <f t="shared" si="0"/>
        <v>65749737</v>
      </c>
      <c r="G23" s="90">
        <f t="shared" si="3"/>
        <v>80543254.49530983</v>
      </c>
      <c r="H23" s="136">
        <f t="shared" si="1"/>
        <v>63548627.796799459</v>
      </c>
      <c r="I23" s="121">
        <v>0.21099999999999999</v>
      </c>
      <c r="J23" s="115" t="s">
        <v>186</v>
      </c>
      <c r="K23" s="129" t="s">
        <v>164</v>
      </c>
      <c r="L23" s="125" t="s">
        <v>94</v>
      </c>
      <c r="M23" s="37"/>
      <c r="N23" s="210">
        <f t="shared" si="2"/>
        <v>17583263</v>
      </c>
      <c r="O23" s="37"/>
      <c r="P23" s="37"/>
      <c r="Q23" s="37"/>
      <c r="R23" s="37"/>
      <c r="S23" s="37"/>
      <c r="T23" s="37"/>
      <c r="U23" s="37"/>
    </row>
    <row r="24" spans="2:21" x14ac:dyDescent="0.25">
      <c r="B24" s="23"/>
      <c r="C24" s="131" t="s">
        <v>108</v>
      </c>
      <c r="D24" s="179" t="s">
        <v>130</v>
      </c>
      <c r="E24" s="90">
        <v>75000000</v>
      </c>
      <c r="F24" s="132">
        <f t="shared" si="0"/>
        <v>60224999.999999993</v>
      </c>
      <c r="G24" s="90">
        <f t="shared" si="3"/>
        <v>72489219.00265485</v>
      </c>
      <c r="H24" s="136">
        <f t="shared" si="1"/>
        <v>58208842.859131843</v>
      </c>
      <c r="I24" s="121">
        <v>0.19700000000000001</v>
      </c>
      <c r="J24" s="115" t="s">
        <v>195</v>
      </c>
      <c r="K24" s="129" t="s">
        <v>164</v>
      </c>
      <c r="L24" s="126" t="s">
        <v>167</v>
      </c>
      <c r="M24" s="38"/>
      <c r="N24" s="210">
        <f t="shared" si="2"/>
        <v>14775000</v>
      </c>
      <c r="O24" s="38"/>
      <c r="P24" s="38"/>
      <c r="Q24" s="38"/>
      <c r="R24" s="38"/>
      <c r="S24" s="38"/>
      <c r="T24" s="38"/>
      <c r="U24" s="38"/>
    </row>
    <row r="25" spans="2:21" x14ac:dyDescent="0.25">
      <c r="B25" s="23"/>
      <c r="C25" s="131" t="s">
        <v>107</v>
      </c>
      <c r="D25" s="179" t="s">
        <v>130</v>
      </c>
      <c r="E25" s="90">
        <v>25000000</v>
      </c>
      <c r="F25" s="132">
        <f t="shared" si="0"/>
        <v>19725000</v>
      </c>
      <c r="G25" s="90">
        <f t="shared" si="3"/>
        <v>24163073.00088495</v>
      </c>
      <c r="H25" s="136">
        <f t="shared" si="1"/>
        <v>19064664.597698227</v>
      </c>
      <c r="I25" s="121">
        <v>0.21099999999999999</v>
      </c>
      <c r="J25" s="115" t="s">
        <v>186</v>
      </c>
      <c r="K25" s="129" t="s">
        <v>164</v>
      </c>
      <c r="L25" s="125" t="s">
        <v>94</v>
      </c>
      <c r="M25" s="34"/>
      <c r="N25" s="210">
        <f t="shared" si="2"/>
        <v>5275000</v>
      </c>
      <c r="O25" s="34"/>
      <c r="P25" s="34"/>
      <c r="Q25" s="34"/>
      <c r="R25" s="34"/>
      <c r="S25" s="34"/>
      <c r="T25" s="34"/>
      <c r="U25" s="34"/>
    </row>
    <row r="26" spans="2:21" ht="15.75" thickBot="1" x14ac:dyDescent="0.3">
      <c r="B26" s="24"/>
      <c r="C26" s="137" t="s">
        <v>106</v>
      </c>
      <c r="D26" s="180" t="s">
        <v>130</v>
      </c>
      <c r="E26" s="98">
        <v>16667000</v>
      </c>
      <c r="F26" s="98">
        <f>E26*(1-I26)</f>
        <v>13150263</v>
      </c>
      <c r="G26" s="98">
        <f t="shared" si="3"/>
        <v>16109037.50822998</v>
      </c>
      <c r="H26" s="138">
        <f t="shared" si="1"/>
        <v>12710030.593993455</v>
      </c>
      <c r="I26" s="121">
        <v>0.21099999999999999</v>
      </c>
      <c r="J26" s="115" t="s">
        <v>186</v>
      </c>
      <c r="K26" s="129" t="s">
        <v>164</v>
      </c>
      <c r="L26" s="125" t="s">
        <v>94</v>
      </c>
      <c r="M26" s="34"/>
      <c r="N26" s="210">
        <f t="shared" si="2"/>
        <v>3516737</v>
      </c>
      <c r="O26" s="34"/>
      <c r="P26" s="34"/>
      <c r="Q26" s="34"/>
      <c r="R26" s="34"/>
      <c r="S26" s="34"/>
      <c r="T26" s="34"/>
      <c r="U26" s="34"/>
    </row>
    <row r="27" spans="2:21" ht="7.15" customHeight="1" thickBot="1" x14ac:dyDescent="0.3">
      <c r="B27" s="12"/>
      <c r="C27" s="6"/>
      <c r="D27" s="13"/>
      <c r="E27" s="44"/>
      <c r="F27" s="44"/>
      <c r="G27" s="44"/>
      <c r="H27" s="50"/>
      <c r="I27" s="101"/>
      <c r="J27" s="101"/>
      <c r="K27" s="102"/>
      <c r="N27" s="210">
        <f t="shared" si="2"/>
        <v>0</v>
      </c>
    </row>
    <row r="28" spans="2:21" ht="60" x14ac:dyDescent="0.25">
      <c r="B28" s="9" t="s">
        <v>225</v>
      </c>
      <c r="C28" s="14"/>
      <c r="D28" s="15"/>
      <c r="E28" s="51"/>
      <c r="F28" s="51"/>
      <c r="G28" s="51"/>
      <c r="H28" s="52"/>
      <c r="I28" s="133"/>
      <c r="J28" s="114" t="s">
        <v>100</v>
      </c>
      <c r="K28" s="114" t="s">
        <v>96</v>
      </c>
      <c r="L28" s="118" t="s">
        <v>97</v>
      </c>
      <c r="N28" s="210">
        <f t="shared" si="2"/>
        <v>0</v>
      </c>
    </row>
    <row r="29" spans="2:21" x14ac:dyDescent="0.25">
      <c r="B29" s="10"/>
      <c r="C29" s="4" t="s">
        <v>111</v>
      </c>
      <c r="D29" s="179" t="s">
        <v>130</v>
      </c>
      <c r="E29" s="47">
        <v>2102500000</v>
      </c>
      <c r="F29" s="47">
        <f>E29*(1-I29)</f>
        <v>1518005000</v>
      </c>
      <c r="G29" s="47">
        <f>E29*(1-(E$36*0.59))</f>
        <v>2060972519.2309105</v>
      </c>
      <c r="H29" s="46">
        <f>G29*(1-I29)</f>
        <v>1488022158.8847175</v>
      </c>
      <c r="I29" s="121">
        <v>0.27800000000000002</v>
      </c>
      <c r="J29" s="115" t="s">
        <v>196</v>
      </c>
      <c r="K29" s="127" t="s">
        <v>199</v>
      </c>
      <c r="L29" s="126" t="s">
        <v>167</v>
      </c>
      <c r="M29" s="36"/>
      <c r="N29" s="210">
        <f t="shared" si="2"/>
        <v>584495000</v>
      </c>
      <c r="O29" s="36"/>
      <c r="P29" s="36"/>
      <c r="Q29" s="36"/>
      <c r="R29" s="36"/>
      <c r="S29" s="36"/>
      <c r="T29" s="36"/>
      <c r="U29" s="36"/>
    </row>
    <row r="30" spans="2:21" x14ac:dyDescent="0.25">
      <c r="B30" s="10"/>
      <c r="C30" s="4" t="s">
        <v>112</v>
      </c>
      <c r="D30" s="179" t="s">
        <v>130</v>
      </c>
      <c r="E30" s="47">
        <v>702500000</v>
      </c>
      <c r="F30" s="47">
        <f>E30*(1-I30)</f>
        <v>481914999.99999994</v>
      </c>
      <c r="G30" s="47">
        <f t="shared" ref="G30:G33" si="4">E30*(1-(E$36*0.59))</f>
        <v>688624587.28167164</v>
      </c>
      <c r="H30" s="46">
        <f>G30*(1-I30)</f>
        <v>472396466.87522674</v>
      </c>
      <c r="I30" s="121">
        <v>0.314</v>
      </c>
      <c r="J30" s="115" t="s">
        <v>196</v>
      </c>
      <c r="K30" s="127" t="s">
        <v>201</v>
      </c>
      <c r="L30" s="126" t="s">
        <v>167</v>
      </c>
      <c r="M30" s="36"/>
      <c r="N30" s="210">
        <f t="shared" si="2"/>
        <v>220585000</v>
      </c>
      <c r="O30" s="36"/>
      <c r="P30" s="36"/>
      <c r="Q30" s="36"/>
      <c r="R30" s="36"/>
      <c r="S30" s="36"/>
      <c r="T30" s="36"/>
      <c r="U30" s="36"/>
    </row>
    <row r="31" spans="2:21" ht="14.45" customHeight="1" x14ac:dyDescent="0.25">
      <c r="B31" s="10"/>
      <c r="C31" s="4" t="s">
        <v>113</v>
      </c>
      <c r="D31" s="179" t="s">
        <v>130</v>
      </c>
      <c r="E31" s="47">
        <v>503333000</v>
      </c>
      <c r="F31" s="47">
        <f>E31*(1-I31)</f>
        <v>394109739</v>
      </c>
      <c r="G31" s="47">
        <f t="shared" si="4"/>
        <v>493391429.73700446</v>
      </c>
      <c r="H31" s="46">
        <f>G31*(1-I31)</f>
        <v>386325489.48407453</v>
      </c>
      <c r="I31" s="121">
        <v>0.217</v>
      </c>
      <c r="J31" s="115" t="s">
        <v>196</v>
      </c>
      <c r="K31" s="129" t="s">
        <v>164</v>
      </c>
      <c r="L31" s="126" t="s">
        <v>167</v>
      </c>
      <c r="M31" s="38"/>
      <c r="N31" s="210">
        <f t="shared" si="2"/>
        <v>109223261</v>
      </c>
      <c r="O31" s="38"/>
      <c r="P31" s="38"/>
      <c r="Q31" s="38"/>
      <c r="R31" s="38"/>
      <c r="S31" s="38"/>
      <c r="T31" s="38"/>
      <c r="U31" s="38"/>
    </row>
    <row r="32" spans="2:21" x14ac:dyDescent="0.25">
      <c r="B32" s="10"/>
      <c r="C32" s="4" t="s">
        <v>114</v>
      </c>
      <c r="D32" s="179" t="s">
        <v>130</v>
      </c>
      <c r="E32" s="47">
        <v>39833000</v>
      </c>
      <c r="F32" s="47">
        <f>E32*(1-I32)</f>
        <v>29078090</v>
      </c>
      <c r="G32" s="47">
        <f t="shared" si="4"/>
        <v>39046239.409524307</v>
      </c>
      <c r="H32" s="46">
        <f>G32*(1-I32)</f>
        <v>28503754.768952742</v>
      </c>
      <c r="I32" s="140">
        <v>0.27</v>
      </c>
      <c r="J32" s="139" t="s">
        <v>196</v>
      </c>
      <c r="K32" s="129" t="s">
        <v>164</v>
      </c>
      <c r="L32" s="126" t="s">
        <v>167</v>
      </c>
      <c r="M32" s="34"/>
      <c r="N32" s="210">
        <f t="shared" si="2"/>
        <v>10754910</v>
      </c>
      <c r="O32" s="34"/>
      <c r="P32" s="34"/>
      <c r="Q32" s="34"/>
      <c r="R32" s="34"/>
      <c r="S32" s="34"/>
      <c r="T32" s="34"/>
      <c r="U32" s="34"/>
    </row>
    <row r="33" spans="2:21" ht="15.75" thickBot="1" x14ac:dyDescent="0.3">
      <c r="B33" s="11"/>
      <c r="C33" s="5" t="s">
        <v>115</v>
      </c>
      <c r="D33" s="180" t="s">
        <v>130</v>
      </c>
      <c r="E33" s="48">
        <v>5000000</v>
      </c>
      <c r="F33" s="48">
        <f>E33*(1-I33)</f>
        <v>0</v>
      </c>
      <c r="G33" s="194">
        <f t="shared" si="4"/>
        <v>4901242.6141044246</v>
      </c>
      <c r="H33" s="49">
        <f>G33*(1-I33)</f>
        <v>0</v>
      </c>
      <c r="I33" s="141">
        <v>1</v>
      </c>
      <c r="J33" s="139" t="s">
        <v>205</v>
      </c>
      <c r="K33" s="129" t="s">
        <v>164</v>
      </c>
      <c r="L33" s="126" t="s">
        <v>167</v>
      </c>
      <c r="M33" s="34"/>
      <c r="N33" s="210">
        <f t="shared" si="2"/>
        <v>5000000</v>
      </c>
      <c r="O33" s="34"/>
      <c r="P33" s="34"/>
      <c r="Q33" s="34"/>
      <c r="R33" s="34"/>
      <c r="S33" s="34"/>
      <c r="T33" s="34"/>
      <c r="U33" s="34"/>
    </row>
    <row r="34" spans="2:21" ht="6" customHeight="1" thickBot="1" x14ac:dyDescent="0.3">
      <c r="C34" s="1"/>
      <c r="D34" s="8"/>
      <c r="E34" s="2"/>
      <c r="F34" s="2"/>
      <c r="G34" s="2"/>
      <c r="H34" s="2"/>
      <c r="I34" s="102"/>
      <c r="J34" s="101"/>
      <c r="K34" s="102"/>
      <c r="L34" s="34"/>
      <c r="M34" s="34"/>
      <c r="N34" s="34"/>
      <c r="O34" s="34"/>
      <c r="P34" s="34"/>
      <c r="Q34" s="34"/>
      <c r="R34" s="34"/>
      <c r="S34" s="34"/>
      <c r="T34" s="34"/>
      <c r="U34" s="34"/>
    </row>
    <row r="35" spans="2:21" ht="73.150000000000006" customHeight="1" thickBot="1" x14ac:dyDescent="0.3">
      <c r="C35" s="1"/>
      <c r="D35" s="8"/>
      <c r="E35" s="53" t="s">
        <v>26</v>
      </c>
      <c r="F35" s="53" t="s">
        <v>149</v>
      </c>
      <c r="G35" s="53" t="s">
        <v>28</v>
      </c>
      <c r="H35" s="53" t="s">
        <v>150</v>
      </c>
      <c r="I35" s="102"/>
      <c r="J35" s="106"/>
      <c r="K35" s="102"/>
      <c r="L35" s="34"/>
      <c r="M35" s="34"/>
      <c r="N35" s="34"/>
      <c r="O35" s="34"/>
      <c r="P35" s="34"/>
      <c r="Q35" s="34"/>
      <c r="R35" s="34"/>
      <c r="S35" s="34"/>
      <c r="T35" s="34"/>
      <c r="U35" s="34"/>
    </row>
    <row r="36" spans="2:21" ht="15.75" thickBot="1" x14ac:dyDescent="0.3">
      <c r="B36" s="12"/>
      <c r="C36" s="78"/>
      <c r="D36" s="79" t="s">
        <v>45</v>
      </c>
      <c r="E36" s="35">
        <f>$D13/($E13+IF($D17="x",E17,0)+IF($D18="x",E18,0)+IF($D19="x",E19,0)+IF($D20="x",E20,0)+IF($D21="x",E21,0)+IF($D22="x",E22,0)+IF($D23="x",E23,0)+IF($D24="x",E24,0)+IF($D25="x",E25,0)+IF($D26="x",E26,0)+IF($D29="x",E29,0)+IF($D30="x",E30,0)+IF($D31="x",E31,0)+IF($D32="x",E32,0)+IF($D33="x",E33,0))</f>
        <v>3.3477079964601912E-2</v>
      </c>
      <c r="F36" s="35">
        <f>($D13-(F40*0.224*(0.06-E36)))/($E13+IF($D17="x",F17,0)+IF($D18="x",F18,0)+IF($D19="x",F19,0)+IF($D20="x",F20,0)+IF($D21="x",F21,0)+IF($D22="x",F22,0)+IF($D23="x",F23,0)+IF($D24="x",F24,0)+IF($D25="x",F25,0)+IF($D26="x",F26,0)+IF($D29="x",F29,0)+IF($D30="x",F30,0)+IF($D31="x",F31,0)+IF($D32="x",F32,0)+IF($D33="x",F33,0))</f>
        <v>3.3841282623379425E-2</v>
      </c>
      <c r="G36" s="35">
        <f>$D13/($E13+IF($D17="x",G17,0)+IF($D18="x",G18,0)+IF($D19="x",G19,0)+IF($D20="x",G20,0)+IF($D21="x",G21,0)+IF($D22="x",G22,0)+IF($D23="x",G23,0)+IF($D24="x",G24,0)+IF($D25="x",G25,0)+IF($D26="x",G26,0)+IF($D29="x",G29,0)+IF($D30="x",G30,0)+IF($D31="x",G31,0)+IF($D32="x",G32,0)+IF($D33="x",G33,0))</f>
        <v>3.3826716591845531E-2</v>
      </c>
      <c r="H36" s="35">
        <f>($D13-(F40*0.224*(0.06-E36)))/($E13+IF($D17="x",H17,0)+IF($D18="x",H18,0)+IF($D19="x",H19,0)+IF($D20="x",H20,0)+IF($D21="x",H21,0)+IF($D22="x",H22,0)+IF($D23="x",H23,0)+IF($D24="x",H24,0)+IF($D25="x",H25,0)+IF($D26="x",H26,0)+IF($D29="x",H29,0)+IF($D30="x",H30,0)+IF($D31="x",H31,0)+IF($D32="x",H32,0)+IF($D33="x",H33,0))</f>
        <v>3.4142096031371937E-2</v>
      </c>
      <c r="I36" s="102"/>
      <c r="J36" s="102"/>
      <c r="K36" s="107"/>
    </row>
    <row r="37" spans="2:21" ht="15.75" thickBot="1" x14ac:dyDescent="0.3">
      <c r="B37" s="12"/>
      <c r="C37" s="28"/>
      <c r="D37" s="29"/>
      <c r="E37" s="22"/>
      <c r="F37" s="22"/>
      <c r="G37" s="22"/>
      <c r="H37" s="25"/>
      <c r="I37" s="102"/>
      <c r="J37" s="107"/>
      <c r="K37" s="109"/>
    </row>
    <row r="38" spans="2:21" x14ac:dyDescent="0.25">
      <c r="C38" s="26" t="s">
        <v>138</v>
      </c>
      <c r="D38" s="183"/>
      <c r="E38" s="254" t="s">
        <v>32</v>
      </c>
      <c r="F38" s="255"/>
      <c r="G38" s="254" t="s">
        <v>33</v>
      </c>
      <c r="H38" s="255"/>
      <c r="I38" s="102"/>
      <c r="J38" s="108"/>
      <c r="K38" s="102"/>
    </row>
    <row r="39" spans="2:21" x14ac:dyDescent="0.25">
      <c r="C39" s="23"/>
      <c r="D39" s="197" t="s">
        <v>4</v>
      </c>
      <c r="E39" s="80" t="s">
        <v>5</v>
      </c>
      <c r="F39" s="81" t="s">
        <v>6</v>
      </c>
      <c r="G39" s="82" t="s">
        <v>5</v>
      </c>
      <c r="H39" s="83" t="s">
        <v>6</v>
      </c>
      <c r="I39" s="102"/>
      <c r="J39" s="108"/>
      <c r="K39" s="107"/>
    </row>
    <row r="40" spans="2:21" x14ac:dyDescent="0.25">
      <c r="C40" s="23"/>
      <c r="D40" s="184" t="s">
        <v>43</v>
      </c>
      <c r="E40" s="54">
        <f>E13</f>
        <v>6990997920.3900003</v>
      </c>
      <c r="F40" s="55">
        <f>E13</f>
        <v>6990997920.3900003</v>
      </c>
      <c r="G40" s="54">
        <f>F13</f>
        <v>7176419599.2001381</v>
      </c>
      <c r="H40" s="55">
        <f>F13</f>
        <v>7176419599.2001381</v>
      </c>
      <c r="I40" s="102"/>
      <c r="J40" s="108"/>
      <c r="K40" s="107"/>
    </row>
    <row r="41" spans="2:21" x14ac:dyDescent="0.25">
      <c r="C41" s="23"/>
      <c r="D41" s="184" t="s">
        <v>44</v>
      </c>
      <c r="E41" s="54">
        <f>$E40+IF($D17="x",E17,0)+IF($D18="x",E18,0)+IF($D19="x",E19,0)+IF($D20="x",E20,0)+IF($D21="x",E21,0)+IF($D22="x",E22,0)+IF($D23="x",E23,0)+IF($D24="x",E24,0)+IF($D25="x",E25,0)+IF($D26="x",E26,0)+IF($D29="x",E29,0)+IF($D30="x",E30,0)+IF($D31="x",E31,0)+IF($D32="x",E32,0)+IF($D33="x",E33,0)</f>
        <v>12529762920.389999</v>
      </c>
      <c r="F41" s="55">
        <f>$E40+IF($D17="x",F17,0)+IF($D18="x",F18,0)+IF($D19="x",F19,0)+IF($D20="x",F20,0)+IF($D21="x",F21,0)+IF($D22="x",F22,0)+IF($D23="x",F23,0)+IF($D24="x",F24,0)+IF($D25="x",F25,0)+IF($D26="x",F26,0)+IF($D29="x",F29,0)+IF($D30="x",F30,0)+IF($D31="x",F31,0)+IF($D32="x",F32,0)+IF($D33="x",F33,0)</f>
        <v>11167585560.389999</v>
      </c>
      <c r="G41" s="54">
        <f>$E40+IF($D17="x",G17,0)+IF($D18="x",G18,0)+IF($D19="x",G19,0)+IF($D20="x",G20,0)+IF($D21="x",G21,0)+IF($D22="x",G22,0)+IF($D23="x",G23,0)+IF($D24="x",G24,0)+IF($D25="x",G25,0)+IF($D26="x",G26,0)+IF($D29="x",G29,0)+IF($D30="x",G30,0)+IF($D31="x",G31,0)+IF($D32="x",G32,0)+IF($D33="x",G33,0)</f>
        <v>12400253926.04961</v>
      </c>
      <c r="H41" s="55">
        <f>$E40+IF($D17="x",H17,0)+IF($D18="x",H18,0)+IF($D19="x",H19,0)+IF($D20="x",H20,0)+IF($D21="x",H21,0)+IF($D22="x",H22,0)+IF($D23="x",H23,0)+IF($D24="x",H24,0)+IF($D25="x",H25,0)+IF($D26="x",H26,0)+IF($D29="x",H29,0)+IF($D30="x",H30,0)+IF($D31="x",H31,0)+IF($D32="x",H32,0)+IF($D33="x",H33,0)</f>
        <v>11069192085.414646</v>
      </c>
      <c r="I41" s="102"/>
      <c r="J41" s="110"/>
      <c r="K41" s="108"/>
      <c r="L41" s="2"/>
    </row>
    <row r="42" spans="2:21" x14ac:dyDescent="0.25">
      <c r="C42" s="23"/>
      <c r="D42" s="184" t="s">
        <v>2</v>
      </c>
      <c r="E42" s="181">
        <v>3.5999999999999997E-2</v>
      </c>
      <c r="F42" s="56">
        <f>E42</f>
        <v>3.5999999999999997E-2</v>
      </c>
      <c r="G42" s="188">
        <f>E42</f>
        <v>3.5999999999999997E-2</v>
      </c>
      <c r="H42" s="57">
        <f>E42</f>
        <v>3.5999999999999997E-2</v>
      </c>
      <c r="I42" s="102"/>
      <c r="J42" s="110"/>
      <c r="K42" s="108"/>
      <c r="L42" s="2"/>
    </row>
    <row r="43" spans="2:21" ht="15.75" thickBot="1" x14ac:dyDescent="0.3">
      <c r="C43" s="182"/>
      <c r="D43" s="185" t="s">
        <v>213</v>
      </c>
      <c r="E43" s="195">
        <f>(E42*E41)-$D13</f>
        <v>31611589.910639942</v>
      </c>
      <c r="F43" s="187">
        <f>(F42*F41)-$D13+(F40*0.211*(0.06-F42))-(0.15*(E43-((F42*F41)-$D13+(F40*0.211*(0.06-F42)))))</f>
        <v>15930222.695823174</v>
      </c>
      <c r="G43" s="58">
        <f>(G42*G41)-$D13</f>
        <v>26949266.114385962</v>
      </c>
      <c r="H43" s="187">
        <f>(H42*H41)-$D13+(H40*0.211*(0.06-H42))-(0.15*((H42*H41)-$D13+(H40*0.211*(0.06-H42))))</f>
        <v>13066564.396595208</v>
      </c>
      <c r="I43" s="102"/>
      <c r="J43" s="110" t="s">
        <v>204</v>
      </c>
      <c r="K43" s="102"/>
    </row>
    <row r="44" spans="2:21" x14ac:dyDescent="0.25">
      <c r="C44" s="12"/>
      <c r="D44" s="196"/>
      <c r="E44" s="44"/>
      <c r="F44" s="44"/>
      <c r="G44" s="44"/>
      <c r="H44" s="44"/>
      <c r="I44" s="102"/>
      <c r="J44" s="110"/>
      <c r="K44" s="102"/>
    </row>
    <row r="45" spans="2:21" ht="15.75" thickBot="1" x14ac:dyDescent="0.3">
      <c r="C45" s="262" t="s">
        <v>206</v>
      </c>
      <c r="D45" s="262"/>
      <c r="E45" s="44"/>
      <c r="F45" s="44"/>
      <c r="G45" s="44"/>
      <c r="H45" s="44"/>
      <c r="I45" s="102"/>
      <c r="J45" s="110"/>
      <c r="K45" s="102"/>
    </row>
    <row r="46" spans="2:21" x14ac:dyDescent="0.25">
      <c r="C46" s="263" t="s">
        <v>43</v>
      </c>
      <c r="D46" s="264"/>
      <c r="E46" s="203">
        <f>E40</f>
        <v>6990997920.3900003</v>
      </c>
      <c r="F46" s="44"/>
      <c r="G46" s="44"/>
      <c r="H46" s="44"/>
      <c r="I46" s="102"/>
      <c r="J46" s="110"/>
      <c r="K46" s="102"/>
    </row>
    <row r="47" spans="2:21" x14ac:dyDescent="0.25">
      <c r="C47" s="256" t="s">
        <v>44</v>
      </c>
      <c r="D47" s="257"/>
      <c r="E47" s="55">
        <f>E41</f>
        <v>12529762920.389999</v>
      </c>
      <c r="F47" s="44"/>
      <c r="G47" s="44"/>
      <c r="H47" s="44"/>
      <c r="I47" s="107"/>
      <c r="J47" s="110"/>
      <c r="K47" s="102"/>
    </row>
    <row r="48" spans="2:21" x14ac:dyDescent="0.25">
      <c r="C48" s="256" t="s">
        <v>2</v>
      </c>
      <c r="D48" s="257"/>
      <c r="E48" s="204">
        <f>E42</f>
        <v>3.5999999999999997E-2</v>
      </c>
      <c r="F48" s="44"/>
      <c r="G48" s="44"/>
      <c r="H48" s="44"/>
      <c r="I48" s="107"/>
      <c r="J48" s="110"/>
      <c r="K48" s="102"/>
    </row>
    <row r="49" spans="2:12" x14ac:dyDescent="0.25">
      <c r="C49" s="256" t="s">
        <v>207</v>
      </c>
      <c r="D49" s="257"/>
      <c r="E49" s="55">
        <f>E48*(IF($D17="x",E17*I17,0)+IF($D18="x",E18*I18,0)+IF($D19="x",E19*I19,0)+IF($D20="x",E20*I20,0)+IF($D21="x",E21*I21,0)+IF($D22="x",E22*I22,0)+IF($D23="x",E23*I23,0)+IF($D24="x",E24*I24,0)+IF($D25="x",E25*I25,0)+IF($D26="x",E26*I26,0)+IF($D29="x",E29*I29,0)+IF($D30="x",E30*I30,0)+IF($D31="x",E31*I31,0)+IF($D32="x",E32*I32,0)+IF($D33="x",E33*I33,0))</f>
        <v>49038384.959999993</v>
      </c>
      <c r="F49" s="44"/>
      <c r="G49" s="44"/>
      <c r="H49" s="44"/>
      <c r="I49" s="102"/>
      <c r="J49" s="110"/>
      <c r="K49" s="102"/>
    </row>
    <row r="50" spans="2:12" ht="15.75" thickBot="1" x14ac:dyDescent="0.3">
      <c r="C50" s="258" t="s">
        <v>208</v>
      </c>
      <c r="D50" s="259"/>
      <c r="E50" s="187">
        <f>I26*E46*(0.06-E48)</f>
        <v>35402413.468854964</v>
      </c>
      <c r="F50" s="44"/>
      <c r="G50" s="44"/>
      <c r="H50" s="44"/>
      <c r="I50" s="102"/>
      <c r="J50" s="110"/>
      <c r="K50" s="102"/>
    </row>
    <row r="51" spans="2:12" x14ac:dyDescent="0.25">
      <c r="C51" s="260" t="s">
        <v>210</v>
      </c>
      <c r="D51" s="261"/>
      <c r="E51" s="212">
        <f>E49-E50</f>
        <v>13635971.49114503</v>
      </c>
      <c r="F51" s="44"/>
      <c r="G51" s="44"/>
      <c r="H51" s="44"/>
      <c r="I51" s="102"/>
      <c r="J51" s="110"/>
      <c r="K51" s="102"/>
    </row>
    <row r="52" spans="2:12" ht="15.75" thickBot="1" x14ac:dyDescent="0.3">
      <c r="C52" s="24"/>
      <c r="D52" s="96" t="s">
        <v>214</v>
      </c>
      <c r="E52" s="187">
        <f>E51*0.15</f>
        <v>2045395.7236717544</v>
      </c>
      <c r="F52" s="200"/>
      <c r="G52" s="12"/>
      <c r="H52" s="201"/>
    </row>
    <row r="53" spans="2:12" ht="15.75" thickBot="1" x14ac:dyDescent="0.3">
      <c r="C53" s="182"/>
      <c r="D53" s="213" t="s">
        <v>215</v>
      </c>
      <c r="E53" s="205">
        <f>SUM(E51:E52)</f>
        <v>15681367.214816784</v>
      </c>
      <c r="F53" s="200"/>
      <c r="G53" s="12"/>
      <c r="H53" s="201"/>
    </row>
    <row r="54" spans="2:12" ht="15.75" x14ac:dyDescent="0.25">
      <c r="B54" s="16" t="s">
        <v>1</v>
      </c>
      <c r="D54" s="2"/>
      <c r="E54" s="2"/>
      <c r="F54" s="21"/>
      <c r="I54" s="189"/>
      <c r="J54" s="190"/>
      <c r="K54" s="191"/>
      <c r="L54" s="189"/>
    </row>
    <row r="55" spans="2:12" x14ac:dyDescent="0.25">
      <c r="B55" s="42" t="s">
        <v>12</v>
      </c>
      <c r="D55" s="2"/>
      <c r="E55" s="21"/>
      <c r="F55" s="21"/>
      <c r="G55" s="77"/>
      <c r="H55" s="20"/>
      <c r="I55" s="2"/>
      <c r="J55" s="2"/>
      <c r="K55" s="2"/>
      <c r="L55" s="2"/>
    </row>
    <row r="56" spans="2:12" x14ac:dyDescent="0.25">
      <c r="B56" t="s">
        <v>179</v>
      </c>
    </row>
    <row r="57" spans="2:12" x14ac:dyDescent="0.25">
      <c r="B57" t="s">
        <v>180</v>
      </c>
      <c r="D57" s="2"/>
      <c r="E57" s="21"/>
      <c r="F57" s="21"/>
      <c r="G57" s="77"/>
      <c r="H57" s="20"/>
      <c r="I57" s="2"/>
      <c r="J57" s="2"/>
      <c r="K57" s="2"/>
      <c r="L57" s="2"/>
    </row>
    <row r="58" spans="2:12" x14ac:dyDescent="0.25">
      <c r="C58" s="31" t="s">
        <v>103</v>
      </c>
    </row>
    <row r="59" spans="2:12" x14ac:dyDescent="0.25">
      <c r="B59" t="s">
        <v>181</v>
      </c>
    </row>
    <row r="60" spans="2:12" x14ac:dyDescent="0.25">
      <c r="B60" t="s">
        <v>182</v>
      </c>
    </row>
    <row r="61" spans="2:12" x14ac:dyDescent="0.25">
      <c r="C61" t="s">
        <v>23</v>
      </c>
    </row>
    <row r="62" spans="2:12" x14ac:dyDescent="0.25">
      <c r="B62" t="s">
        <v>183</v>
      </c>
    </row>
    <row r="63" spans="2:12" x14ac:dyDescent="0.25">
      <c r="B63" t="s">
        <v>184</v>
      </c>
    </row>
    <row r="64" spans="2:12" x14ac:dyDescent="0.25">
      <c r="B64" t="s">
        <v>187</v>
      </c>
    </row>
    <row r="65" spans="2:3" x14ac:dyDescent="0.25">
      <c r="B65" t="s">
        <v>189</v>
      </c>
    </row>
    <row r="66" spans="2:3" x14ac:dyDescent="0.25">
      <c r="B66" t="s">
        <v>190</v>
      </c>
    </row>
    <row r="67" spans="2:3" x14ac:dyDescent="0.25">
      <c r="B67" t="s">
        <v>193</v>
      </c>
    </row>
    <row r="68" spans="2:3" x14ac:dyDescent="0.25">
      <c r="B68" t="s">
        <v>194</v>
      </c>
    </row>
    <row r="69" spans="2:3" x14ac:dyDescent="0.25">
      <c r="B69" t="s">
        <v>197</v>
      </c>
    </row>
    <row r="70" spans="2:3" x14ac:dyDescent="0.25">
      <c r="B70" t="s">
        <v>198</v>
      </c>
    </row>
    <row r="71" spans="2:3" x14ac:dyDescent="0.25">
      <c r="B71" t="s">
        <v>200</v>
      </c>
    </row>
    <row r="72" spans="2:3" x14ac:dyDescent="0.25">
      <c r="B72" s="32" t="s">
        <v>202</v>
      </c>
    </row>
    <row r="73" spans="2:3" x14ac:dyDescent="0.25">
      <c r="B73" t="s">
        <v>203</v>
      </c>
    </row>
    <row r="74" spans="2:3" x14ac:dyDescent="0.25">
      <c r="C74" t="s">
        <v>131</v>
      </c>
    </row>
    <row r="75" spans="2:3" x14ac:dyDescent="0.25">
      <c r="C75" s="186" t="s">
        <v>133</v>
      </c>
    </row>
    <row r="76" spans="2:3" x14ac:dyDescent="0.25">
      <c r="C76" s="186" t="s">
        <v>134</v>
      </c>
    </row>
    <row r="85" spans="2:2" x14ac:dyDescent="0.25">
      <c r="B85" s="33"/>
    </row>
  </sheetData>
  <sheetProtection algorithmName="SHA-512" hashValue="tYz0znpAQ3C58zCPpkM0XMWBuscrmRxAJrKl6FPfPIUCvgZsxhUxW8VdDUH8xAjOxj4m6KtUzo03urMxSQWauQ==" saltValue="D1dBzeJpHkpsuil8tvT5DQ==" spinCount="100000" sheet="1" objects="1" scenarios="1"/>
  <mergeCells count="9">
    <mergeCell ref="E38:F38"/>
    <mergeCell ref="G38:H38"/>
    <mergeCell ref="C49:D49"/>
    <mergeCell ref="C50:D50"/>
    <mergeCell ref="C51:D51"/>
    <mergeCell ref="C45:D45"/>
    <mergeCell ref="C46:D46"/>
    <mergeCell ref="C47:D47"/>
    <mergeCell ref="C48:D48"/>
  </mergeCells>
  <phoneticPr fontId="3" type="noConversion"/>
  <hyperlinks>
    <hyperlink ref="C58" r:id="rId1" xr:uid="{9FEDDECF-CFB0-44A7-A22B-AFE0A5E08F0B}"/>
  </hyperlinks>
  <pageMargins left="0.7" right="0.7" top="0.75" bottom="0.75" header="0.3" footer="0.3"/>
  <pageSetup orientation="portrait" r:id="rId2"/>
  <ignoredErrors>
    <ignoredError sqref="F36 F43:G43"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2E61E-E1AC-433D-842A-284627AB712E}">
  <dimension ref="B1:V73"/>
  <sheetViews>
    <sheetView zoomScale="88" zoomScaleNormal="88" workbookViewId="0">
      <selection activeCell="E1" sqref="E1"/>
    </sheetView>
  </sheetViews>
  <sheetFormatPr defaultRowHeight="15" x14ac:dyDescent="0.25"/>
  <cols>
    <col min="1" max="1" width="1.5703125" customWidth="1"/>
    <col min="2" max="2" width="7.42578125" customWidth="1"/>
    <col min="3" max="3" width="69.7109375" customWidth="1"/>
    <col min="4" max="4" width="7.140625" customWidth="1"/>
    <col min="5" max="5" width="19.140625" style="223" customWidth="1"/>
    <col min="6" max="6" width="19.28515625" customWidth="1"/>
    <col min="7" max="7" width="16.7109375" customWidth="1"/>
    <col min="8" max="8" width="14.85546875" customWidth="1"/>
    <col min="9" max="9" width="15.85546875" style="30" customWidth="1"/>
    <col min="10" max="10" width="11.140625" customWidth="1"/>
    <col min="11" max="11" width="11.85546875" style="30" customWidth="1"/>
    <col min="12" max="12" width="10" style="30" customWidth="1"/>
    <col min="13" max="13" width="11.85546875" customWidth="1"/>
    <col min="15" max="15" width="14.7109375" bestFit="1" customWidth="1"/>
  </cols>
  <sheetData>
    <row r="1" spans="2:22" x14ac:dyDescent="0.25">
      <c r="B1" s="7" t="s">
        <v>145</v>
      </c>
      <c r="D1" s="1"/>
      <c r="E1" s="222"/>
      <c r="F1" s="2"/>
      <c r="G1" s="2"/>
    </row>
    <row r="2" spans="2:22" x14ac:dyDescent="0.25">
      <c r="D2" s="1"/>
      <c r="E2" s="222"/>
      <c r="F2" s="2"/>
      <c r="G2" s="2"/>
      <c r="H2" s="2"/>
    </row>
    <row r="3" spans="2:22" x14ac:dyDescent="0.25">
      <c r="B3" s="7" t="s">
        <v>0</v>
      </c>
      <c r="D3" s="1"/>
      <c r="E3" s="222"/>
      <c r="F3" s="2"/>
      <c r="G3" s="2"/>
      <c r="H3" s="2"/>
    </row>
    <row r="4" spans="2:22" x14ac:dyDescent="0.25">
      <c r="B4" t="s">
        <v>151</v>
      </c>
      <c r="D4" s="1"/>
      <c r="E4" s="222"/>
      <c r="F4" s="2"/>
      <c r="G4" s="2"/>
      <c r="H4" s="2"/>
    </row>
    <row r="5" spans="2:22" x14ac:dyDescent="0.25">
      <c r="B5" t="s">
        <v>41</v>
      </c>
      <c r="D5" s="1"/>
      <c r="E5" s="222"/>
      <c r="F5" s="2"/>
      <c r="G5" s="2"/>
      <c r="H5" s="2"/>
    </row>
    <row r="6" spans="2:22" x14ac:dyDescent="0.25">
      <c r="B6" s="3" t="s">
        <v>152</v>
      </c>
    </row>
    <row r="7" spans="2:22" x14ac:dyDescent="0.25">
      <c r="B7" s="3" t="s">
        <v>153</v>
      </c>
      <c r="L7" s="87"/>
    </row>
    <row r="8" spans="2:22" x14ac:dyDescent="0.25">
      <c r="C8" t="s">
        <v>91</v>
      </c>
    </row>
    <row r="9" spans="2:22" ht="14.45" customHeight="1" x14ac:dyDescent="0.25">
      <c r="B9" s="3" t="s">
        <v>154</v>
      </c>
      <c r="C9" s="1"/>
      <c r="K9" s="87"/>
    </row>
    <row r="10" spans="2:22" ht="15.75" thickBot="1" x14ac:dyDescent="0.3">
      <c r="C10" s="1"/>
      <c r="F10" s="2"/>
      <c r="G10" s="2"/>
      <c r="H10" s="2"/>
      <c r="I10" s="20"/>
      <c r="L10" s="27"/>
    </row>
    <row r="11" spans="2:22" ht="118.9" customHeight="1" x14ac:dyDescent="0.25">
      <c r="B11" s="236" t="s">
        <v>7</v>
      </c>
      <c r="C11" s="238"/>
      <c r="D11" s="135"/>
      <c r="E11" s="94" t="s">
        <v>219</v>
      </c>
      <c r="F11" s="239" t="s">
        <v>226</v>
      </c>
      <c r="G11" s="95" t="s">
        <v>8</v>
      </c>
      <c r="H11" s="112" t="s">
        <v>42</v>
      </c>
      <c r="I11" s="117" t="s">
        <v>100</v>
      </c>
      <c r="K11"/>
      <c r="L11"/>
    </row>
    <row r="12" spans="2:22" ht="13.15" customHeight="1" thickBot="1" x14ac:dyDescent="0.3">
      <c r="B12" s="237"/>
      <c r="C12" s="240"/>
      <c r="D12" s="202"/>
      <c r="E12" s="98">
        <f>F15+F16+F17+F18+F19+F20</f>
        <v>2876269364.9099998</v>
      </c>
      <c r="F12" s="241">
        <v>0.83</v>
      </c>
      <c r="G12" s="99">
        <v>173917720.00299996</v>
      </c>
      <c r="H12" s="113">
        <f>G12/E12</f>
        <v>6.0466422973024278E-2</v>
      </c>
      <c r="I12" s="116" t="s">
        <v>163</v>
      </c>
      <c r="K12"/>
      <c r="L12"/>
    </row>
    <row r="13" spans="2:22" ht="13.15" customHeight="1" x14ac:dyDescent="0.25">
      <c r="B13" s="12"/>
      <c r="C13" s="4"/>
      <c r="D13" s="248"/>
      <c r="E13" s="224"/>
      <c r="F13" s="44"/>
      <c r="G13" s="44"/>
      <c r="H13" s="45"/>
      <c r="I13" s="39"/>
    </row>
    <row r="14" spans="2:22" ht="99" customHeight="1" thickBot="1" x14ac:dyDescent="0.3">
      <c r="B14" s="247" t="s">
        <v>35</v>
      </c>
      <c r="C14" s="245"/>
      <c r="E14" s="246"/>
      <c r="F14" s="122" t="s">
        <v>173</v>
      </c>
      <c r="G14" s="122" t="s">
        <v>168</v>
      </c>
      <c r="H14" s="122" t="s">
        <v>174</v>
      </c>
      <c r="I14" s="122" t="s">
        <v>169</v>
      </c>
      <c r="J14" s="88" t="s">
        <v>9</v>
      </c>
      <c r="K14" s="114" t="s">
        <v>100</v>
      </c>
      <c r="L14" s="88" t="s">
        <v>96</v>
      </c>
      <c r="M14" s="118" t="s">
        <v>97</v>
      </c>
    </row>
    <row r="15" spans="2:22" x14ac:dyDescent="0.25">
      <c r="B15" s="271" t="s">
        <v>139</v>
      </c>
      <c r="C15" s="272"/>
      <c r="D15" s="175" t="s">
        <v>130</v>
      </c>
      <c r="E15" s="64">
        <v>2503166667</v>
      </c>
      <c r="F15" s="64">
        <f>E15*F12</f>
        <v>2077628333.6099999</v>
      </c>
      <c r="G15" s="64">
        <f>F15</f>
        <v>2077628333.6099999</v>
      </c>
      <c r="H15" s="64">
        <f>F15*(1-(0.17*(F$41-0.06)))</f>
        <v>2080972055.3600657</v>
      </c>
      <c r="I15" s="65">
        <f>H15</f>
        <v>2080972055.3600657</v>
      </c>
      <c r="J15" s="121">
        <v>7.9000000000000001E-2</v>
      </c>
      <c r="K15" s="119" t="s">
        <v>164</v>
      </c>
      <c r="L15" s="119" t="s">
        <v>95</v>
      </c>
      <c r="M15" s="120" t="s">
        <v>16</v>
      </c>
      <c r="N15" s="36"/>
      <c r="O15" s="209"/>
      <c r="P15" s="36"/>
      <c r="Q15" s="36"/>
      <c r="R15" s="36"/>
      <c r="S15" s="36"/>
      <c r="T15" s="36"/>
      <c r="U15" s="36"/>
      <c r="V15" s="36"/>
    </row>
    <row r="16" spans="2:22" x14ac:dyDescent="0.25">
      <c r="B16" s="273" t="s">
        <v>140</v>
      </c>
      <c r="C16" s="274"/>
      <c r="D16" s="176" t="s">
        <v>130</v>
      </c>
      <c r="E16" s="63">
        <v>270962000</v>
      </c>
      <c r="F16" s="63">
        <f>E16*F$12</f>
        <v>224898460</v>
      </c>
      <c r="G16" s="63">
        <f t="shared" ref="G16:G20" si="0">F16</f>
        <v>224898460</v>
      </c>
      <c r="H16" s="63">
        <f>F16*(1-(0.17*(F$41-0.06)))</f>
        <v>225260410.14290726</v>
      </c>
      <c r="I16" s="66">
        <f t="shared" ref="I16:I20" si="1">H16</f>
        <v>225260410.14290726</v>
      </c>
      <c r="J16" s="121">
        <v>7.9000000000000001E-2</v>
      </c>
      <c r="K16" s="119" t="s">
        <v>164</v>
      </c>
      <c r="L16" s="119" t="s">
        <v>95</v>
      </c>
      <c r="M16" s="120" t="s">
        <v>16</v>
      </c>
      <c r="N16" s="36"/>
      <c r="O16" s="211"/>
      <c r="P16" s="36"/>
      <c r="Q16" s="36"/>
      <c r="R16" s="36"/>
      <c r="S16" s="36"/>
      <c r="T16" s="36"/>
      <c r="U16" s="36"/>
      <c r="V16" s="36"/>
    </row>
    <row r="17" spans="2:22" x14ac:dyDescent="0.25">
      <c r="B17" s="275" t="s">
        <v>141</v>
      </c>
      <c r="C17" s="276"/>
      <c r="D17" s="176" t="s">
        <v>130</v>
      </c>
      <c r="E17" s="63">
        <v>131294118</v>
      </c>
      <c r="F17" s="63">
        <f t="shared" ref="F17:F20" si="2">E17*F$12</f>
        <v>108974117.94</v>
      </c>
      <c r="G17" s="63">
        <f t="shared" si="0"/>
        <v>108974117.94</v>
      </c>
      <c r="H17" s="63">
        <f>F17*(1-(0.17*(F$41-0.0425)))</f>
        <v>108825302.18746215</v>
      </c>
      <c r="I17" s="66">
        <f t="shared" si="1"/>
        <v>108825302.18746215</v>
      </c>
      <c r="J17" s="121">
        <v>7.9000000000000001E-2</v>
      </c>
      <c r="K17" s="119" t="s">
        <v>164</v>
      </c>
      <c r="L17" s="119" t="s">
        <v>95</v>
      </c>
      <c r="M17" s="120" t="s">
        <v>16</v>
      </c>
      <c r="N17" s="36"/>
      <c r="O17" s="211"/>
      <c r="P17" s="36"/>
      <c r="Q17" s="36"/>
      <c r="R17" s="36"/>
      <c r="S17" s="36"/>
      <c r="T17" s="36"/>
      <c r="U17" s="36"/>
      <c r="V17" s="36"/>
    </row>
    <row r="18" spans="2:22" x14ac:dyDescent="0.25">
      <c r="B18" s="275" t="s">
        <v>142</v>
      </c>
      <c r="C18" s="276"/>
      <c r="D18" s="176" t="s">
        <v>130</v>
      </c>
      <c r="E18" s="63">
        <v>1355932</v>
      </c>
      <c r="F18" s="63">
        <f t="shared" si="2"/>
        <v>1125423.56</v>
      </c>
      <c r="G18" s="63">
        <f t="shared" si="0"/>
        <v>1125423.56</v>
      </c>
      <c r="H18" s="63">
        <f>F18*(1-(0.17*(F$41-0.059)))</f>
        <v>1127043.4874732234</v>
      </c>
      <c r="I18" s="66">
        <f t="shared" si="1"/>
        <v>1127043.4874732234</v>
      </c>
      <c r="J18" s="121">
        <v>7.9000000000000001E-2</v>
      </c>
      <c r="K18" s="119" t="s">
        <v>164</v>
      </c>
      <c r="L18" s="119" t="s">
        <v>95</v>
      </c>
      <c r="M18" s="120" t="s">
        <v>16</v>
      </c>
      <c r="N18" s="36"/>
      <c r="O18" s="36"/>
      <c r="P18" s="36"/>
      <c r="Q18" s="36"/>
      <c r="R18" s="36"/>
      <c r="S18" s="36"/>
      <c r="T18" s="36"/>
      <c r="U18" s="36"/>
      <c r="V18" s="36"/>
    </row>
    <row r="19" spans="2:22" x14ac:dyDescent="0.25">
      <c r="B19" s="273" t="s">
        <v>143</v>
      </c>
      <c r="C19" s="274"/>
      <c r="D19" s="176"/>
      <c r="E19" s="63">
        <v>528000000</v>
      </c>
      <c r="F19" s="63">
        <f t="shared" si="2"/>
        <v>438240000</v>
      </c>
      <c r="G19" s="63">
        <f t="shared" si="0"/>
        <v>438240000</v>
      </c>
      <c r="H19" s="63">
        <f>F19*(1-(0.17*(F41-0.00152)))</f>
        <v>434588493.86869305</v>
      </c>
      <c r="I19" s="66">
        <f t="shared" si="1"/>
        <v>434588493.86869305</v>
      </c>
      <c r="J19" s="121">
        <v>7.9000000000000001E-2</v>
      </c>
      <c r="K19" s="119" t="s">
        <v>164</v>
      </c>
      <c r="L19" s="119" t="s">
        <v>95</v>
      </c>
      <c r="M19" s="120" t="s">
        <v>16</v>
      </c>
      <c r="N19" s="36"/>
      <c r="O19" s="36"/>
      <c r="P19" s="36"/>
      <c r="Q19" s="36"/>
      <c r="R19" s="36"/>
      <c r="S19" s="36"/>
      <c r="T19" s="36"/>
      <c r="U19" s="36"/>
      <c r="V19" s="36"/>
    </row>
    <row r="20" spans="2:22" ht="15.75" thickBot="1" x14ac:dyDescent="0.3">
      <c r="B20" s="269" t="s">
        <v>144</v>
      </c>
      <c r="C20" s="270"/>
      <c r="D20" s="177" t="s">
        <v>130</v>
      </c>
      <c r="E20" s="67">
        <v>30606060</v>
      </c>
      <c r="F20" s="67">
        <f t="shared" si="2"/>
        <v>25403029.799999997</v>
      </c>
      <c r="G20" s="67">
        <f t="shared" si="0"/>
        <v>25403029.799999997</v>
      </c>
      <c r="H20" s="67">
        <f>F20*(1-(0.17*(F41-0.033)))</f>
        <v>25327313.366881564</v>
      </c>
      <c r="I20" s="68">
        <f t="shared" si="1"/>
        <v>25327313.366881564</v>
      </c>
      <c r="J20" s="121">
        <v>7.9000000000000001E-2</v>
      </c>
      <c r="K20" s="119" t="s">
        <v>164</v>
      </c>
      <c r="L20" s="119" t="s">
        <v>95</v>
      </c>
      <c r="M20" s="120" t="s">
        <v>16</v>
      </c>
      <c r="N20" s="36"/>
      <c r="O20" s="36"/>
      <c r="P20" s="36"/>
      <c r="Q20" s="36"/>
      <c r="R20" s="36"/>
      <c r="S20" s="36"/>
      <c r="T20" s="36"/>
      <c r="U20" s="36"/>
      <c r="V20" s="36"/>
    </row>
    <row r="21" spans="2:22" ht="15.75" thickBot="1" x14ac:dyDescent="0.3">
      <c r="B21" s="60"/>
      <c r="C21" s="59"/>
      <c r="D21" s="13"/>
      <c r="E21" s="13"/>
      <c r="F21" s="61"/>
      <c r="G21" s="61"/>
      <c r="H21" s="61"/>
      <c r="I21" s="62"/>
      <c r="J21" s="100"/>
      <c r="K21" s="104"/>
      <c r="L21" s="104"/>
    </row>
    <row r="22" spans="2:22" ht="91.15" customHeight="1" x14ac:dyDescent="0.25">
      <c r="B22" s="73" t="s">
        <v>38</v>
      </c>
      <c r="C22" s="70"/>
      <c r="D22" s="15"/>
      <c r="E22" s="15"/>
      <c r="F22" s="243" t="s">
        <v>173</v>
      </c>
      <c r="G22" s="243" t="s">
        <v>168</v>
      </c>
      <c r="H22" s="243" t="s">
        <v>174</v>
      </c>
      <c r="I22" s="244" t="s">
        <v>169</v>
      </c>
      <c r="J22" s="242" t="s">
        <v>9</v>
      </c>
      <c r="K22" s="114" t="s">
        <v>100</v>
      </c>
      <c r="L22" s="114" t="s">
        <v>96</v>
      </c>
      <c r="M22" s="118" t="s">
        <v>97</v>
      </c>
    </row>
    <row r="23" spans="2:22" x14ac:dyDescent="0.25">
      <c r="B23" s="74"/>
      <c r="C23" s="193" t="s">
        <v>123</v>
      </c>
      <c r="D23" s="178" t="s">
        <v>130</v>
      </c>
      <c r="E23" s="63">
        <v>498453000</v>
      </c>
      <c r="F23" s="63">
        <f>E23*F$12</f>
        <v>413715990</v>
      </c>
      <c r="G23" s="63">
        <f>IF(D23="x",F23*(1-J23),F23)</f>
        <v>381032426.79000002</v>
      </c>
      <c r="H23" s="63">
        <f t="shared" ref="H23:H31" si="3">F23*(1-(0.17*F$41))</f>
        <v>410161918.76987278</v>
      </c>
      <c r="I23" s="66">
        <f>H23*(1-J23)</f>
        <v>377759127.18705285</v>
      </c>
      <c r="J23" s="124">
        <v>7.9000000000000001E-2</v>
      </c>
      <c r="K23" s="119" t="s">
        <v>95</v>
      </c>
      <c r="L23" s="119" t="s">
        <v>95</v>
      </c>
      <c r="M23" s="120" t="s">
        <v>16</v>
      </c>
    </row>
    <row r="24" spans="2:22" x14ac:dyDescent="0.25">
      <c r="B24" s="74"/>
      <c r="C24" s="193" t="s">
        <v>122</v>
      </c>
      <c r="D24" s="178" t="s">
        <v>130</v>
      </c>
      <c r="E24" s="63">
        <v>324381000</v>
      </c>
      <c r="F24" s="63">
        <f t="shared" ref="F24:F36" si="4">E24*F$12</f>
        <v>269236230</v>
      </c>
      <c r="G24" s="63">
        <f t="shared" ref="G24:G36" si="5">IF(D24="x",F24*(1-J24),F24)</f>
        <v>247966567.83000001</v>
      </c>
      <c r="H24" s="63">
        <f t="shared" si="3"/>
        <v>266923327.5203281</v>
      </c>
      <c r="I24" s="66">
        <f t="shared" ref="I24:I36" si="6">H24*(1-J24)</f>
        <v>245836384.6462222</v>
      </c>
      <c r="J24" s="124">
        <v>7.9000000000000001E-2</v>
      </c>
      <c r="K24" s="119" t="s">
        <v>95</v>
      </c>
      <c r="L24" s="119" t="s">
        <v>95</v>
      </c>
      <c r="M24" s="120" t="s">
        <v>16</v>
      </c>
    </row>
    <row r="25" spans="2:22" x14ac:dyDescent="0.25">
      <c r="B25" s="74"/>
      <c r="C25" s="193" t="s">
        <v>124</v>
      </c>
      <c r="D25" s="178" t="s">
        <v>130</v>
      </c>
      <c r="E25" s="72">
        <v>2432000</v>
      </c>
      <c r="F25" s="63">
        <f t="shared" si="4"/>
        <v>2018560</v>
      </c>
      <c r="G25" s="63">
        <f t="shared" si="5"/>
        <v>1859093.76</v>
      </c>
      <c r="H25" s="63">
        <f t="shared" si="3"/>
        <v>2001219.3455517984</v>
      </c>
      <c r="I25" s="66">
        <f t="shared" si="6"/>
        <v>1843123.0172532063</v>
      </c>
      <c r="J25" s="124">
        <v>7.9000000000000001E-2</v>
      </c>
      <c r="K25" s="119" t="s">
        <v>95</v>
      </c>
      <c r="L25" s="119" t="s">
        <v>95</v>
      </c>
      <c r="M25" s="120" t="s">
        <v>16</v>
      </c>
    </row>
    <row r="26" spans="2:22" x14ac:dyDescent="0.25">
      <c r="B26" s="74"/>
      <c r="C26" s="193" t="s">
        <v>125</v>
      </c>
      <c r="D26" s="178" t="s">
        <v>130</v>
      </c>
      <c r="E26" s="63">
        <v>30380000</v>
      </c>
      <c r="F26" s="63">
        <f t="shared" si="4"/>
        <v>25215400</v>
      </c>
      <c r="G26" s="63">
        <f t="shared" si="5"/>
        <v>23223383.400000002</v>
      </c>
      <c r="H26" s="63">
        <f t="shared" si="3"/>
        <v>24998784.423463665</v>
      </c>
      <c r="I26" s="66">
        <f t="shared" si="6"/>
        <v>23023880.454010036</v>
      </c>
      <c r="J26" s="124">
        <v>7.9000000000000001E-2</v>
      </c>
      <c r="K26" s="119" t="s">
        <v>95</v>
      </c>
      <c r="L26" s="119" t="s">
        <v>95</v>
      </c>
      <c r="M26" s="120" t="s">
        <v>16</v>
      </c>
    </row>
    <row r="27" spans="2:22" x14ac:dyDescent="0.25">
      <c r="B27" s="74"/>
      <c r="C27" s="193" t="s">
        <v>126</v>
      </c>
      <c r="D27" s="178" t="s">
        <v>130</v>
      </c>
      <c r="E27" s="63">
        <v>44000000</v>
      </c>
      <c r="F27" s="63">
        <f t="shared" si="4"/>
        <v>36520000</v>
      </c>
      <c r="G27" s="63">
        <f t="shared" si="5"/>
        <v>33634920</v>
      </c>
      <c r="H27" s="63">
        <f t="shared" si="3"/>
        <v>36206271.054391094</v>
      </c>
      <c r="I27" s="66">
        <f t="shared" si="6"/>
        <v>33345975.6410942</v>
      </c>
      <c r="J27" s="124">
        <v>7.9000000000000001E-2</v>
      </c>
      <c r="K27" s="119" t="s">
        <v>95</v>
      </c>
      <c r="L27" s="119" t="s">
        <v>95</v>
      </c>
      <c r="M27" s="120" t="s">
        <v>16</v>
      </c>
    </row>
    <row r="28" spans="2:22" x14ac:dyDescent="0.25">
      <c r="B28" s="74"/>
      <c r="C28" s="193" t="s">
        <v>127</v>
      </c>
      <c r="D28" s="178" t="s">
        <v>130</v>
      </c>
      <c r="E28" s="63">
        <v>72989000</v>
      </c>
      <c r="F28" s="63">
        <f t="shared" si="4"/>
        <v>60580870</v>
      </c>
      <c r="G28" s="63">
        <f t="shared" si="5"/>
        <v>55794981.270000003</v>
      </c>
      <c r="H28" s="63">
        <f t="shared" si="3"/>
        <v>60060443.590657987</v>
      </c>
      <c r="I28" s="66">
        <f t="shared" si="6"/>
        <v>55315668.546996005</v>
      </c>
      <c r="J28" s="124">
        <v>7.9000000000000001E-2</v>
      </c>
      <c r="K28" s="119" t="s">
        <v>95</v>
      </c>
      <c r="L28" s="119" t="s">
        <v>95</v>
      </c>
      <c r="M28" s="120" t="s">
        <v>16</v>
      </c>
    </row>
    <row r="29" spans="2:22" x14ac:dyDescent="0.25">
      <c r="B29" s="74"/>
      <c r="C29" s="193" t="s">
        <v>128</v>
      </c>
      <c r="D29" s="178" t="s">
        <v>130</v>
      </c>
      <c r="E29" s="63">
        <v>156553000</v>
      </c>
      <c r="F29" s="63">
        <f t="shared" si="4"/>
        <v>129938990</v>
      </c>
      <c r="G29" s="63">
        <f t="shared" si="5"/>
        <v>119673809.79000001</v>
      </c>
      <c r="H29" s="63">
        <f t="shared" si="3"/>
        <v>128822735.28132018</v>
      </c>
      <c r="I29" s="66">
        <f t="shared" si="6"/>
        <v>118645739.19409589</v>
      </c>
      <c r="J29" s="124">
        <v>7.9000000000000001E-2</v>
      </c>
      <c r="K29" s="119" t="s">
        <v>95</v>
      </c>
      <c r="L29" s="119" t="s">
        <v>95</v>
      </c>
      <c r="M29" s="120" t="s">
        <v>16</v>
      </c>
    </row>
    <row r="30" spans="2:22" x14ac:dyDescent="0.25">
      <c r="B30" s="74"/>
      <c r="C30" s="193" t="s">
        <v>129</v>
      </c>
      <c r="D30" s="178" t="s">
        <v>130</v>
      </c>
      <c r="E30" s="63">
        <v>60941000</v>
      </c>
      <c r="F30" s="63">
        <f t="shared" si="4"/>
        <v>50581030</v>
      </c>
      <c r="G30" s="63">
        <f t="shared" si="5"/>
        <v>46585128.630000003</v>
      </c>
      <c r="H30" s="63">
        <f t="shared" si="3"/>
        <v>50146508.280128352</v>
      </c>
      <c r="I30" s="66">
        <f t="shared" si="6"/>
        <v>46184934.125998214</v>
      </c>
      <c r="J30" s="124">
        <v>7.9000000000000001E-2</v>
      </c>
      <c r="K30" s="119" t="s">
        <v>95</v>
      </c>
      <c r="L30" s="119" t="s">
        <v>95</v>
      </c>
      <c r="M30" s="120" t="s">
        <v>16</v>
      </c>
    </row>
    <row r="31" spans="2:22" x14ac:dyDescent="0.25">
      <c r="B31" s="74"/>
      <c r="C31" s="192" t="s">
        <v>220</v>
      </c>
      <c r="D31" s="225"/>
      <c r="E31" s="63">
        <v>831397000</v>
      </c>
      <c r="F31" s="63">
        <f t="shared" si="4"/>
        <v>690059510</v>
      </c>
      <c r="G31" s="63">
        <f t="shared" si="5"/>
        <v>690059510</v>
      </c>
      <c r="H31" s="63">
        <f t="shared" si="3"/>
        <v>684131480.35926342</v>
      </c>
      <c r="I31" s="66">
        <f t="shared" si="6"/>
        <v>630085093.41088164</v>
      </c>
      <c r="J31" s="124">
        <v>7.9000000000000001E-2</v>
      </c>
      <c r="K31" s="119" t="s">
        <v>222</v>
      </c>
      <c r="L31" s="119" t="s">
        <v>95</v>
      </c>
      <c r="M31" s="120" t="s">
        <v>16</v>
      </c>
    </row>
    <row r="32" spans="2:22" hidden="1" x14ac:dyDescent="0.25">
      <c r="B32" s="74"/>
      <c r="C32" s="71" t="s">
        <v>37</v>
      </c>
      <c r="D32" s="178"/>
      <c r="E32" s="63"/>
      <c r="F32" s="63">
        <f t="shared" si="4"/>
        <v>0</v>
      </c>
      <c r="G32" s="63">
        <f t="shared" si="5"/>
        <v>0</v>
      </c>
      <c r="H32" s="63"/>
      <c r="I32" s="66">
        <f t="shared" si="6"/>
        <v>0</v>
      </c>
      <c r="J32" s="124">
        <v>7.9000000000000001E-2</v>
      </c>
      <c r="K32" s="119" t="s">
        <v>95</v>
      </c>
      <c r="L32" s="119" t="s">
        <v>95</v>
      </c>
      <c r="M32" s="120" t="s">
        <v>16</v>
      </c>
    </row>
    <row r="33" spans="2:22" hidden="1" x14ac:dyDescent="0.25">
      <c r="B33" s="74"/>
      <c r="C33" s="71" t="s">
        <v>39</v>
      </c>
      <c r="D33" s="178"/>
      <c r="E33" s="63"/>
      <c r="F33" s="63">
        <f t="shared" si="4"/>
        <v>0</v>
      </c>
      <c r="G33" s="63">
        <f t="shared" si="5"/>
        <v>0</v>
      </c>
      <c r="H33" s="63"/>
      <c r="I33" s="66">
        <f t="shared" si="6"/>
        <v>0</v>
      </c>
      <c r="J33" s="124">
        <v>7.9000000000000001E-2</v>
      </c>
      <c r="K33" s="119" t="s">
        <v>95</v>
      </c>
      <c r="L33" s="119" t="s">
        <v>95</v>
      </c>
      <c r="M33" s="120" t="s">
        <v>16</v>
      </c>
    </row>
    <row r="34" spans="2:22" hidden="1" x14ac:dyDescent="0.25">
      <c r="B34" s="74"/>
      <c r="C34" s="71" t="s">
        <v>36</v>
      </c>
      <c r="D34" s="178"/>
      <c r="E34" s="63"/>
      <c r="F34" s="63">
        <f t="shared" si="4"/>
        <v>0</v>
      </c>
      <c r="G34" s="63">
        <f t="shared" si="5"/>
        <v>0</v>
      </c>
      <c r="H34" s="63"/>
      <c r="I34" s="66">
        <f t="shared" si="6"/>
        <v>0</v>
      </c>
      <c r="J34" s="124">
        <v>7.9000000000000001E-2</v>
      </c>
      <c r="K34" s="119" t="s">
        <v>95</v>
      </c>
      <c r="L34" s="119" t="s">
        <v>95</v>
      </c>
      <c r="M34" s="120" t="s">
        <v>16</v>
      </c>
    </row>
    <row r="35" spans="2:22" hidden="1" x14ac:dyDescent="0.25">
      <c r="B35" s="74"/>
      <c r="C35" s="71" t="s">
        <v>40</v>
      </c>
      <c r="D35" s="178"/>
      <c r="E35" s="63"/>
      <c r="F35" s="63">
        <f t="shared" si="4"/>
        <v>0</v>
      </c>
      <c r="G35" s="63">
        <f t="shared" si="5"/>
        <v>0</v>
      </c>
      <c r="H35" s="63"/>
      <c r="I35" s="66">
        <f t="shared" si="6"/>
        <v>0</v>
      </c>
      <c r="J35" s="124">
        <v>7.9000000000000001E-2</v>
      </c>
      <c r="K35" s="119" t="s">
        <v>95</v>
      </c>
      <c r="L35" s="119" t="s">
        <v>95</v>
      </c>
      <c r="M35" s="120" t="s">
        <v>16</v>
      </c>
    </row>
    <row r="36" spans="2:22" ht="15.75" thickBot="1" x14ac:dyDescent="0.3">
      <c r="B36" s="75"/>
      <c r="C36" s="76" t="s">
        <v>223</v>
      </c>
      <c r="D36" s="226"/>
      <c r="E36" s="67">
        <f>901796000-E19</f>
        <v>373796000</v>
      </c>
      <c r="F36" s="67">
        <f t="shared" si="4"/>
        <v>310250680</v>
      </c>
      <c r="G36" s="67">
        <f t="shared" si="5"/>
        <v>310250680</v>
      </c>
      <c r="H36" s="67">
        <f>F36*(1-(0.17*F$41))</f>
        <v>307585438.52379936</v>
      </c>
      <c r="I36" s="68">
        <f t="shared" si="6"/>
        <v>283286188.88041919</v>
      </c>
      <c r="J36" s="124">
        <v>7.9000000000000001E-2</v>
      </c>
      <c r="K36" s="119" t="s">
        <v>176</v>
      </c>
      <c r="L36" s="119" t="s">
        <v>95</v>
      </c>
      <c r="M36" s="123" t="s">
        <v>16</v>
      </c>
    </row>
    <row r="37" spans="2:22" x14ac:dyDescent="0.25">
      <c r="B37" s="60"/>
      <c r="C37" s="59"/>
      <c r="D37" s="13"/>
      <c r="E37" s="13"/>
      <c r="F37" s="69"/>
      <c r="G37" s="61"/>
      <c r="H37" s="61"/>
      <c r="I37" s="62"/>
      <c r="J37" s="100"/>
      <c r="K37" s="105"/>
      <c r="L37" s="103"/>
    </row>
    <row r="38" spans="2:22" ht="7.15" customHeight="1" x14ac:dyDescent="0.25">
      <c r="F38" s="30"/>
      <c r="G38" s="30"/>
      <c r="H38" s="30"/>
      <c r="I38" s="40"/>
      <c r="J38" s="101"/>
      <c r="K38" s="101"/>
      <c r="L38" s="102"/>
    </row>
    <row r="39" spans="2:22" ht="6" customHeight="1" thickBot="1" x14ac:dyDescent="0.3">
      <c r="C39" s="1"/>
      <c r="D39" s="8"/>
      <c r="E39" s="8"/>
      <c r="F39" s="2"/>
      <c r="G39" s="2"/>
      <c r="H39" s="2"/>
      <c r="I39" s="2"/>
      <c r="J39" s="102"/>
      <c r="K39" s="101"/>
      <c r="L39" s="102"/>
      <c r="M39" s="34"/>
      <c r="N39" s="34"/>
      <c r="O39" s="34"/>
      <c r="P39" s="34"/>
      <c r="Q39" s="34"/>
      <c r="R39" s="34"/>
      <c r="S39" s="34"/>
      <c r="T39" s="34"/>
      <c r="U39" s="34"/>
      <c r="V39" s="34"/>
    </row>
    <row r="40" spans="2:22" ht="73.150000000000006" customHeight="1" thickBot="1" x14ac:dyDescent="0.3">
      <c r="C40" s="1"/>
      <c r="D40" s="8"/>
      <c r="E40" s="8"/>
      <c r="F40" s="53" t="s">
        <v>26</v>
      </c>
      <c r="G40" s="53" t="s">
        <v>27</v>
      </c>
      <c r="H40" s="53" t="s">
        <v>28</v>
      </c>
      <c r="I40" s="53" t="s">
        <v>29</v>
      </c>
      <c r="J40" s="102"/>
      <c r="K40" s="106"/>
      <c r="L40" s="102"/>
      <c r="M40" s="34"/>
      <c r="N40" s="34"/>
      <c r="O40" s="34"/>
      <c r="P40" s="34"/>
      <c r="Q40" s="34"/>
      <c r="R40" s="34"/>
      <c r="S40" s="34"/>
      <c r="T40" s="34"/>
      <c r="U40" s="34"/>
      <c r="V40" s="34"/>
    </row>
    <row r="41" spans="2:22" ht="15.75" thickBot="1" x14ac:dyDescent="0.3">
      <c r="B41" s="12"/>
      <c r="C41" s="78"/>
      <c r="D41" s="253"/>
      <c r="E41" s="79" t="s">
        <v>46</v>
      </c>
      <c r="F41" s="35">
        <f>($G12-IF($D15="x",0,F15*0.06)-IF($D16="x",0,F16*0.06)-IF($D17="x",0,F17*0.0425)-IF($D18="x",0,F18*0.059)-IF($D19="x",0,800000)-IF($D20="x",0,F20*0.033))/(1+($E12-IF($D15="x",0,F15)-IF($D16="x",0,F16)-IF($D17="x",0,F17)-IF($D18="x",0,F18)-IF($D19="x",0,F19)-IF($D20="x",0,F20)+IF($D23="x",F23,0)+IF($D24="x",F24,0)+IF($D25="x",F25,0)+IF($D26="x",F26,0)+IF($D27="x",F27,0)+IF($D28="x",F28,0)+IF($D29="x",F29,0)+IF($D30="x",F30,0)+IF($D31="x",F31,0)+IF($D32="x",F32,0)+IF($D33="x",F33,0)+IF($D34="x",F34,0)+IF($D35="x",F35,0)+IF($D36="x",F36,0)))</f>
        <v>5.0532978804347081E-2</v>
      </c>
      <c r="G41" s="35">
        <f>($G12-IF($D15="x",0,G15*0.06)-IF($D16="x",0,G16*0.06)-IF($D17="x",0,G17*0.0425)-IF($D18="x",0,G18*0.059)-IF($D19="x",0,800000)-IF($D20="x",0,G20*0.033))/(1+($E12-IF($D15="x",0,G15)-IF($D16="x",0,G16)-IF($D17="x",0,G17)-IF($D18="x",0,G18)-IF($D19="x",0,G19)-IF($D20="x",0,G20)+IF($D23="x",G23,0)+IF($D24="x",G24,0)+IF($D25="x",G25,0)+IF($D26="x",G26,0)+IF($D27="x",G27,0)+IF($D28="x",G28,0)+IF($D29="x",G29,0)+IF($D30="x",G30,0)+IF($D31="x",G31,0)+IF($D32="x",G32,0)+IF($D33="x",G33,0)+IF($D34="x",G34,0)+IF($D35="x",G35,0)+IF($D36="x",G36,0)))</f>
        <v>5.1710895718373E-2</v>
      </c>
      <c r="H41" s="35">
        <f>($G12-IF($D15="x",0,H15*0.06)-IF($D16="x",0,H16*0.06)-IF($D17="x",0,H17*0.0425)-IF($D18="x",0,H18*0.059)-IF($D19="x",0,800000)-IF($D20="x",0,H20*0.033))/(1+($E12-IF($D15="x",0,H15)-IF($D16="x",0,H16)-IF($D17="x",0,H17)-IF($D18="x",0,H18)-IF($D19="x",0,H19)-IF($D20="x",0,H20)+IF($D23="x",H23,0)+IF($D24="x",H24,0)+IF($D25="x",H25,0)+IF($D26="x",H26,0)+IF($D27="x",H27,0)+IF($D28="x",H28,0)+IF($D29="x",H29,0)+IF($D30="x",H30,0)+IF($D31="x",H31,0)+IF($D32="x",H32,0)+IF($D33="x",H33,0)+IF($D34="x",H34,0)+IF($D35="x",H35,0)+IF($D36="x",H36,0)))</f>
        <v>5.0604388988697527E-2</v>
      </c>
      <c r="I41" s="35">
        <f>($G12-IF($D15="x",0,I15*0.06)-IF($D16="x",0,I16*0.06)-IF($D17="x",0,I17*0.0425)-IF($D18="x",0,I18*0.059)-IF($D19="x",0,800000)-IF($D20="x",0,I20*0.033))/(1+($E12-IF($D15="x",0,I15)-IF($D16="x",0,I16)-IF($D17="x",0,I17)-IF($D18="x",0,I18)-IF($D19="x",0,I19)-IF($D20="x",0,I20)+IF($D23="x",I23,0)+IF($D24="x",I24,0)+IF($D25="x",I25,0)+IF($D26="x",I26,0)+IF($D27="x",I27,0)+IF($D28="x",I28,0)+IF($D29="x",I29,0)+IF($D30="x",I30,0)+IF($D31="x",I31,0)+IF($D32="x",I32,0)+IF($D33="x",I33,0)+IF($D34="x",I34,0)+IF($D35="x",I35,0)+IF($D36="x",I36,0)))</f>
        <v>5.1775293508105905E-2</v>
      </c>
      <c r="J41" s="102"/>
      <c r="K41" s="102"/>
      <c r="L41" s="107"/>
    </row>
    <row r="42" spans="2:22" ht="15.75" thickBot="1" x14ac:dyDescent="0.3">
      <c r="B42" s="12"/>
      <c r="C42" s="28"/>
      <c r="D42" s="29"/>
      <c r="E42" s="227"/>
      <c r="F42" s="22"/>
      <c r="G42" s="22"/>
      <c r="H42" s="22"/>
      <c r="I42" s="25"/>
      <c r="J42" s="102"/>
      <c r="K42" s="107"/>
      <c r="L42" s="109"/>
    </row>
    <row r="43" spans="2:22" x14ac:dyDescent="0.25">
      <c r="C43" s="26" t="s">
        <v>31</v>
      </c>
      <c r="D43" s="216"/>
      <c r="E43" s="228"/>
      <c r="F43" s="254" t="s">
        <v>32</v>
      </c>
      <c r="G43" s="255"/>
      <c r="H43" s="254" t="s">
        <v>33</v>
      </c>
      <c r="I43" s="255"/>
      <c r="J43" s="102"/>
      <c r="K43" s="108"/>
      <c r="L43" s="102"/>
    </row>
    <row r="44" spans="2:22" x14ac:dyDescent="0.25">
      <c r="C44" s="23"/>
      <c r="D44" s="214" t="s">
        <v>4</v>
      </c>
      <c r="E44" s="229"/>
      <c r="F44" s="80" t="s">
        <v>5</v>
      </c>
      <c r="G44" s="81" t="s">
        <v>171</v>
      </c>
      <c r="H44" s="80" t="s">
        <v>5</v>
      </c>
      <c r="I44" s="83" t="s">
        <v>171</v>
      </c>
      <c r="J44" s="102"/>
      <c r="K44" s="108"/>
      <c r="L44" s="102"/>
    </row>
    <row r="45" spans="2:22" x14ac:dyDescent="0.25">
      <c r="C45" s="23"/>
      <c r="D45" s="214" t="s">
        <v>47</v>
      </c>
      <c r="E45" s="229"/>
      <c r="F45" s="54">
        <f>$E12-IF($D15="x",F15,0)-IF($D16="x",F16,0)-IF($D17="x",F17,0)-IF($D18="x",F18,0)-IF($D19="x",F19,0)-IF($D20="x",F20,0)</f>
        <v>438239999.99999994</v>
      </c>
      <c r="G45" s="55">
        <f>$E12-IF($D15="x",F15,0)-IF($D16="x",F16,0)-IF($D17="x",F17,0)-IF($D18="x",F18,0)-IF($D19="x",F19,0)-IF($D20="x",F20,0)</f>
        <v>438239999.99999994</v>
      </c>
      <c r="H45" s="54">
        <f>G45</f>
        <v>438239999.99999994</v>
      </c>
      <c r="I45" s="55">
        <f>G45</f>
        <v>438239999.99999994</v>
      </c>
      <c r="J45" s="102"/>
      <c r="K45" s="108"/>
      <c r="L45" s="102"/>
    </row>
    <row r="46" spans="2:22" x14ac:dyDescent="0.25">
      <c r="C46" s="23"/>
      <c r="D46" s="214" t="s">
        <v>172</v>
      </c>
      <c r="E46" s="229"/>
      <c r="F46" s="54">
        <f>F15+F16+F17+F18+F19+F20-F45</f>
        <v>2438029364.9099998</v>
      </c>
      <c r="G46" s="55">
        <f>G15+G16+G17+G18+G19+G20-G45</f>
        <v>2438029364.9099998</v>
      </c>
      <c r="H46" s="54">
        <f>H15+H16+H17+H18+H19+H20-H45</f>
        <v>2437860618.4134827</v>
      </c>
      <c r="I46" s="55">
        <f>I15+I16+I17+I18+I19+I20-I45</f>
        <v>2437860618.4134827</v>
      </c>
      <c r="J46" s="102"/>
      <c r="K46" s="108"/>
      <c r="L46" s="102"/>
    </row>
    <row r="47" spans="2:22" x14ac:dyDescent="0.25">
      <c r="C47" s="23"/>
      <c r="D47" s="214" t="s">
        <v>147</v>
      </c>
      <c r="E47" s="229"/>
      <c r="F47" s="54">
        <f>IF($D23="x",F23,0)+IF($D24="x",F24,0)+IF($D25="x",F25,0)+IF($D26="x",F26,0)+IF($D27="x",F27,0)+IF($D28="x",F28,0)+IF($D29="x",F29,0)+IF($D30="x",F30,0)+IF($D31="x",F31,0)+IF($D32="x",F32,0)+IF($D33="x",F33,0)+IF($D34="x",F34,0)+IF($D35="x",F35,0)+IF($D36="x",F36,0)</f>
        <v>987807070</v>
      </c>
      <c r="G47" s="55">
        <f>IF($D23="x",G23,0)+IF($D24="x",G24,0)+IF($D25="x",G25,0)+IF($D26="x",G26,0)+IF($D27="x",G27,0)+IF($D28="x",G28,0)+IF($D29="x",G29,0)+IF($D30="x",G30,0)+IF($D31="x",G31,0)+IF($D32="x",G32,0)+IF($D33="x",G33,0)+IF($D34="x",G34,0)+IF($D35="x",G35,0)+IF($D36="x",G36,0)</f>
        <v>909770311.46999991</v>
      </c>
      <c r="H47" s="54">
        <f>IF($D23="x",H23,0)+IF($D24="x",H24,0)+IF($D25="x",H25,0)+IF($D26="x",H26,0)+IF($D27="x",H27,0)+IF($D28="x",H28,0)+IF($D29="x",H29,0)+IF($D30="x",H30,0)+IF($D31="x",H31,0)+IF($D32="x",H32,0)+IF($D33="x",H33,0)+IF($D34="x",H34,0)+IF($D35="x",H35,0)+IF($D36="x",H36,0)</f>
        <v>979321208.26571417</v>
      </c>
      <c r="I47" s="55">
        <f>IF($D23="x",I23,0)+IF($D24="x",I24,0)+IF($D25="x",I25,0)+IF($D26="x",I26,0)+IF($D27="x",I27,0)+IF($D28="x",I28,0)+IF($D29="x",I29,0)+IF($D30="x",I30,0)+IF($D31="x",I31,0)+IF($D32="x",I32,0)+IF($D33="x",I33,0)+IF($D34="x",I34,0)+IF($D35="x",I35,0)+IF($D36="x",I36,0)</f>
        <v>901954832.81272256</v>
      </c>
      <c r="J47" s="102"/>
      <c r="K47" s="108"/>
      <c r="L47" s="102"/>
    </row>
    <row r="48" spans="2:22" x14ac:dyDescent="0.25">
      <c r="C48" s="23"/>
      <c r="D48" s="214" t="s">
        <v>146</v>
      </c>
      <c r="E48" s="229"/>
      <c r="F48" s="54">
        <f>F46+F47</f>
        <v>3425836434.9099998</v>
      </c>
      <c r="G48" s="55">
        <f t="shared" ref="G48:I48" si="7">G46+G47</f>
        <v>3347799676.3799996</v>
      </c>
      <c r="H48" s="54">
        <f t="shared" si="7"/>
        <v>3417181826.6791968</v>
      </c>
      <c r="I48" s="55">
        <f t="shared" si="7"/>
        <v>3339815451.2262053</v>
      </c>
      <c r="J48" s="102"/>
      <c r="K48" s="107"/>
      <c r="L48" s="108"/>
      <c r="M48" s="2"/>
    </row>
    <row r="49" spans="2:13" x14ac:dyDescent="0.25">
      <c r="C49" s="23"/>
      <c r="D49" s="214" t="s">
        <v>2</v>
      </c>
      <c r="E49" s="252"/>
      <c r="F49" s="181">
        <v>5.1999999999999998E-2</v>
      </c>
      <c r="G49" s="56">
        <f>F49</f>
        <v>5.1999999999999998E-2</v>
      </c>
      <c r="H49" s="188">
        <f>F49</f>
        <v>5.1999999999999998E-2</v>
      </c>
      <c r="I49" s="57">
        <f>F49</f>
        <v>5.1999999999999998E-2</v>
      </c>
      <c r="J49" s="102"/>
      <c r="K49" s="110"/>
      <c r="L49" s="108"/>
      <c r="M49" s="2"/>
    </row>
    <row r="50" spans="2:13" x14ac:dyDescent="0.25">
      <c r="C50" s="23"/>
      <c r="D50" s="214" t="s">
        <v>217</v>
      </c>
      <c r="E50" s="252"/>
      <c r="F50" s="217">
        <f>F49*F47</f>
        <v>51365967.640000001</v>
      </c>
      <c r="G50" s="218">
        <f t="shared" ref="G50:I50" si="8">G49*G47</f>
        <v>47308056.196439996</v>
      </c>
      <c r="H50" s="217">
        <f t="shared" si="8"/>
        <v>50924702.829817131</v>
      </c>
      <c r="I50" s="218">
        <f t="shared" si="8"/>
        <v>46901651.306261569</v>
      </c>
      <c r="J50" s="102"/>
      <c r="K50" s="110"/>
      <c r="L50" s="108"/>
      <c r="M50" s="2"/>
    </row>
    <row r="51" spans="2:13" x14ac:dyDescent="0.25">
      <c r="C51" s="23"/>
      <c r="D51" s="214" t="s">
        <v>218</v>
      </c>
      <c r="E51" s="252"/>
      <c r="F51" s="217">
        <f>F49*F46</f>
        <v>126777526.97531998</v>
      </c>
      <c r="G51" s="218">
        <f t="shared" ref="G51:I51" si="9">G49*G46</f>
        <v>126777526.97531998</v>
      </c>
      <c r="H51" s="217">
        <f t="shared" si="9"/>
        <v>126768752.15750109</v>
      </c>
      <c r="I51" s="218">
        <f t="shared" si="9"/>
        <v>126768752.15750109</v>
      </c>
      <c r="J51" s="102"/>
      <c r="K51" s="110"/>
      <c r="L51" s="108"/>
      <c r="M51" s="2"/>
    </row>
    <row r="52" spans="2:13" ht="15.75" thickBot="1" x14ac:dyDescent="0.3">
      <c r="C52" s="249"/>
      <c r="D52" s="250" t="s">
        <v>148</v>
      </c>
      <c r="E52" s="251"/>
      <c r="F52" s="220">
        <f>IF($D15="x",0,F15*0.06)+IF($D16="x",0,F16*0.06)+IF($D17="x",0,F17*0.0425)+IF($D18="x",0,F18*0.059)+IF($D19="x",0,800000)+IF($D20="x",0,F20*0.033)</f>
        <v>800000</v>
      </c>
      <c r="G52" s="221">
        <f t="shared" ref="G52:I52" si="10">IF($D15="x",0,G15*0.06)+IF($D16="x",0,G16*0.06)+IF($D17="x",0,G17*0.0425)+IF($D18="x",0,G18*0.059)+IF($D19="x",0,800000)+IF($D20="x",0,G20*0.033)</f>
        <v>800000</v>
      </c>
      <c r="H52" s="220">
        <f t="shared" si="10"/>
        <v>800000</v>
      </c>
      <c r="I52" s="221">
        <f t="shared" si="10"/>
        <v>800000</v>
      </c>
      <c r="J52" s="102"/>
      <c r="K52" s="110"/>
      <c r="L52" s="108"/>
      <c r="M52" s="2"/>
    </row>
    <row r="53" spans="2:13" ht="15.75" thickBot="1" x14ac:dyDescent="0.3">
      <c r="C53" s="182"/>
      <c r="D53" s="215" t="s">
        <v>3</v>
      </c>
      <c r="E53" s="230"/>
      <c r="F53" s="219">
        <f>F50+F51+F52-$G12</f>
        <v>5025774.6123200059</v>
      </c>
      <c r="G53" s="205">
        <f t="shared" ref="G53:I53" si="11">G50+G51+G52-$G12</f>
        <v>967863.16876000166</v>
      </c>
      <c r="H53" s="219">
        <f t="shared" si="11"/>
        <v>4575734.9843182564</v>
      </c>
      <c r="I53" s="205">
        <f t="shared" si="11"/>
        <v>552683.46076267958</v>
      </c>
      <c r="J53" s="102"/>
      <c r="K53" s="108"/>
      <c r="L53" s="102"/>
    </row>
    <row r="54" spans="2:13" ht="15.75" thickBot="1" x14ac:dyDescent="0.3">
      <c r="C54" s="19"/>
      <c r="D54" s="2"/>
      <c r="E54" s="231"/>
      <c r="H54" s="21"/>
    </row>
    <row r="55" spans="2:13" x14ac:dyDescent="0.25">
      <c r="C55" s="263" t="s">
        <v>216</v>
      </c>
      <c r="D55" s="264"/>
      <c r="E55" s="232"/>
      <c r="F55" s="203">
        <f>F47</f>
        <v>987807070</v>
      </c>
      <c r="H55" s="21"/>
    </row>
    <row r="56" spans="2:13" x14ac:dyDescent="0.25">
      <c r="C56" s="265" t="s">
        <v>209</v>
      </c>
      <c r="D56" s="266"/>
      <c r="E56" s="233"/>
      <c r="F56" s="199">
        <f>F55*F49*J36</f>
        <v>4057911.44356</v>
      </c>
      <c r="H56" s="21"/>
    </row>
    <row r="57" spans="2:13" ht="15.75" thickBot="1" x14ac:dyDescent="0.3">
      <c r="C57" s="207"/>
      <c r="D57" s="208" t="s">
        <v>211</v>
      </c>
      <c r="E57" s="234"/>
      <c r="F57" s="187">
        <f>J15*(IF($D15="x",F15*(0.06-F49),0)+IF($D16="x",F16*(0.06-F49),0)+IF($D17="x",F17*(0.0425-F49),0)+IF($D18="x",F18*(0.059-F49),0)+IF($D19="x",(800000-(F19*F49)),0)+IF($D20="x",F20*(0.033-F49),0))</f>
        <v>1335904.2695464301</v>
      </c>
      <c r="H57" s="21"/>
    </row>
    <row r="58" spans="2:13" ht="15.75" thickBot="1" x14ac:dyDescent="0.3">
      <c r="C58" s="267" t="s">
        <v>212</v>
      </c>
      <c r="D58" s="268"/>
      <c r="E58" s="235"/>
      <c r="F58" s="206">
        <f>F56-F57</f>
        <v>2722007.17401357</v>
      </c>
      <c r="H58" s="21"/>
    </row>
    <row r="59" spans="2:13" x14ac:dyDescent="0.25">
      <c r="C59" s="19"/>
      <c r="D59" s="2"/>
      <c r="E59" s="231"/>
      <c r="F59" s="21"/>
      <c r="H59" s="21"/>
    </row>
    <row r="60" spans="2:13" ht="15.75" x14ac:dyDescent="0.25">
      <c r="B60" s="16" t="s">
        <v>1</v>
      </c>
      <c r="C60" s="146"/>
      <c r="D60" s="2"/>
      <c r="E60" s="231"/>
      <c r="F60" s="2"/>
      <c r="G60" s="21"/>
      <c r="J60" s="189"/>
      <c r="K60" s="190"/>
      <c r="L60" s="191"/>
      <c r="M60" s="189"/>
    </row>
    <row r="61" spans="2:13" ht="15.75" x14ac:dyDescent="0.25">
      <c r="B61" s="32" t="s">
        <v>162</v>
      </c>
      <c r="D61" s="2"/>
      <c r="E61" s="231"/>
      <c r="F61" s="21"/>
      <c r="G61" s="21"/>
      <c r="L61" s="111"/>
    </row>
    <row r="62" spans="2:13" ht="15.75" x14ac:dyDescent="0.25">
      <c r="B62" s="32"/>
      <c r="C62" t="s">
        <v>99</v>
      </c>
      <c r="D62" s="2"/>
      <c r="E62" s="231"/>
      <c r="F62" s="21"/>
      <c r="G62" s="21"/>
      <c r="L62" s="111"/>
    </row>
    <row r="63" spans="2:13" ht="15.75" x14ac:dyDescent="0.25">
      <c r="B63" s="32" t="s">
        <v>165</v>
      </c>
      <c r="D63" s="2"/>
      <c r="E63" s="231"/>
      <c r="F63" s="21"/>
      <c r="G63" s="21"/>
      <c r="L63" s="111"/>
    </row>
    <row r="64" spans="2:13" x14ac:dyDescent="0.25">
      <c r="C64" t="s">
        <v>98</v>
      </c>
      <c r="I64"/>
    </row>
    <row r="65" spans="2:12" x14ac:dyDescent="0.25">
      <c r="C65" t="s">
        <v>99</v>
      </c>
      <c r="I65"/>
    </row>
    <row r="66" spans="2:12" x14ac:dyDescent="0.25">
      <c r="B66" t="s">
        <v>166</v>
      </c>
    </row>
    <row r="67" spans="2:12" ht="15.75" x14ac:dyDescent="0.25">
      <c r="B67" t="s">
        <v>93</v>
      </c>
      <c r="L67" s="111"/>
    </row>
    <row r="68" spans="2:12" ht="15.75" x14ac:dyDescent="0.25">
      <c r="B68" t="s">
        <v>170</v>
      </c>
      <c r="L68" s="111"/>
    </row>
    <row r="69" spans="2:12" x14ac:dyDescent="0.25">
      <c r="B69" t="s">
        <v>175</v>
      </c>
    </row>
    <row r="70" spans="2:12" x14ac:dyDescent="0.25">
      <c r="B70" t="s">
        <v>177</v>
      </c>
    </row>
    <row r="71" spans="2:12" x14ac:dyDescent="0.25">
      <c r="B71" t="s">
        <v>178</v>
      </c>
    </row>
    <row r="72" spans="2:12" x14ac:dyDescent="0.25">
      <c r="B72" t="s">
        <v>221</v>
      </c>
    </row>
    <row r="73" spans="2:12" x14ac:dyDescent="0.25">
      <c r="B73" t="s">
        <v>224</v>
      </c>
    </row>
  </sheetData>
  <sheetProtection algorithmName="SHA-512" hashValue="SPRGrBy1X9jvCADkJsdEd2r+xwl/NAGJ6unC7IZNlr91jvJTABjESHErSOKGheR0Ib++B8JC2KoL44V6uJQbIw==" saltValue="r2m+AIneQI5PDG7h6O33kA==" spinCount="100000" sheet="1" objects="1" scenarios="1"/>
  <mergeCells count="11">
    <mergeCell ref="B20:C20"/>
    <mergeCell ref="B15:C15"/>
    <mergeCell ref="B16:C16"/>
    <mergeCell ref="B17:C17"/>
    <mergeCell ref="B18:C18"/>
    <mergeCell ref="B19:C19"/>
    <mergeCell ref="F43:G43"/>
    <mergeCell ref="H43:I43"/>
    <mergeCell ref="C55:D55"/>
    <mergeCell ref="C56:D56"/>
    <mergeCell ref="C58:D58"/>
  </mergeCells>
  <phoneticPr fontId="3" type="noConversion"/>
  <pageMargins left="0.7" right="0.7" top="0.75" bottom="0.75" header="0.3" footer="0.3"/>
  <ignoredErrors>
    <ignoredError sqref="F52 F50:F51 G52:I52 G50:I51" unlockedFormula="1"/>
    <ignoredError sqref="H15:H20" 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64202-4473-4FF8-95A3-1758C397AB2D}">
  <dimension ref="B1:W68"/>
  <sheetViews>
    <sheetView workbookViewId="0">
      <selection activeCell="G32" sqref="G32"/>
    </sheetView>
  </sheetViews>
  <sheetFormatPr defaultRowHeight="15" x14ac:dyDescent="0.25"/>
  <cols>
    <col min="1" max="1" width="2.42578125" customWidth="1"/>
    <col min="2" max="2" width="43.7109375" customWidth="1"/>
    <col min="3" max="3" width="18.5703125" style="30" customWidth="1"/>
    <col min="4" max="4" width="14.5703125" bestFit="1" customWidth="1"/>
    <col min="5" max="6" width="12.42578125" bestFit="1" customWidth="1"/>
    <col min="7" max="7" width="14.28515625" customWidth="1"/>
    <col min="8" max="8" width="12.42578125" bestFit="1" customWidth="1"/>
    <col min="9" max="9" width="13.28515625" customWidth="1"/>
  </cols>
  <sheetData>
    <row r="1" spans="2:13" x14ac:dyDescent="0.25">
      <c r="B1" s="7" t="s">
        <v>116</v>
      </c>
    </row>
    <row r="3" spans="2:13" x14ac:dyDescent="0.25">
      <c r="B3" s="130" t="s">
        <v>117</v>
      </c>
      <c r="C3" s="161" t="s">
        <v>118</v>
      </c>
      <c r="D3" s="162" t="s">
        <v>63</v>
      </c>
    </row>
    <row r="4" spans="2:13" x14ac:dyDescent="0.25">
      <c r="B4" s="89" t="s">
        <v>10</v>
      </c>
      <c r="C4" s="145">
        <v>623989</v>
      </c>
      <c r="D4" s="150" t="s">
        <v>74</v>
      </c>
      <c r="E4" s="151"/>
      <c r="F4" s="152"/>
    </row>
    <row r="5" spans="2:13" x14ac:dyDescent="0.25">
      <c r="B5" s="89" t="s">
        <v>11</v>
      </c>
      <c r="C5" s="90">
        <v>6439000000</v>
      </c>
      <c r="D5" s="147" t="s">
        <v>75</v>
      </c>
      <c r="E5" s="148"/>
      <c r="F5" s="148"/>
      <c r="G5" s="148"/>
      <c r="H5" s="148"/>
      <c r="I5" s="148"/>
      <c r="J5" s="148"/>
      <c r="K5" s="148"/>
      <c r="L5" s="148"/>
      <c r="M5" s="149"/>
    </row>
    <row r="6" spans="2:13" x14ac:dyDescent="0.25">
      <c r="B6" s="89" t="s">
        <v>66</v>
      </c>
      <c r="C6" s="115">
        <v>260029</v>
      </c>
      <c r="D6" s="153" t="s">
        <v>67</v>
      </c>
      <c r="E6" s="154"/>
      <c r="F6" s="152"/>
    </row>
    <row r="7" spans="2:13" x14ac:dyDescent="0.25">
      <c r="B7" s="89" t="s">
        <v>121</v>
      </c>
      <c r="C7" s="143">
        <f>C4/C6</f>
        <v>2.3996900345730667</v>
      </c>
      <c r="D7" s="147" t="s">
        <v>68</v>
      </c>
      <c r="E7" s="148"/>
      <c r="F7" s="148"/>
      <c r="G7" s="149"/>
    </row>
    <row r="8" spans="2:13" x14ac:dyDescent="0.25">
      <c r="B8" s="144" t="s">
        <v>69</v>
      </c>
      <c r="C8" s="91">
        <v>17240</v>
      </c>
      <c r="D8" s="147" t="s">
        <v>71</v>
      </c>
      <c r="E8" s="155"/>
      <c r="F8" s="156"/>
      <c r="G8" s="41"/>
    </row>
    <row r="9" spans="2:13" x14ac:dyDescent="0.25">
      <c r="B9" s="144" t="s">
        <v>70</v>
      </c>
      <c r="C9" s="91">
        <v>21720</v>
      </c>
      <c r="D9" s="147" t="s">
        <v>71</v>
      </c>
      <c r="E9" s="157"/>
      <c r="F9" s="158"/>
      <c r="G9" s="18"/>
      <c r="H9" s="18"/>
    </row>
    <row r="10" spans="2:13" x14ac:dyDescent="0.25">
      <c r="B10" s="144" t="s">
        <v>78</v>
      </c>
      <c r="C10" s="90">
        <f>C8+(0.4*(C9-C8))</f>
        <v>19032</v>
      </c>
      <c r="D10" s="147" t="s">
        <v>73</v>
      </c>
      <c r="E10" s="148"/>
      <c r="F10" s="149"/>
    </row>
    <row r="11" spans="2:13" x14ac:dyDescent="0.25">
      <c r="B11" s="17" t="s">
        <v>79</v>
      </c>
      <c r="C11" s="90">
        <f>C10*2.5</f>
        <v>47580</v>
      </c>
      <c r="D11" s="147" t="s">
        <v>72</v>
      </c>
      <c r="E11" s="157"/>
      <c r="F11" s="158"/>
      <c r="G11" s="18"/>
    </row>
    <row r="12" spans="2:13" x14ac:dyDescent="0.25">
      <c r="B12" s="85"/>
      <c r="C12" s="20"/>
      <c r="E12" s="18"/>
      <c r="F12" s="18"/>
      <c r="G12" s="18"/>
    </row>
    <row r="13" spans="2:13" x14ac:dyDescent="0.25">
      <c r="B13" s="159" t="s">
        <v>119</v>
      </c>
      <c r="C13" s="160"/>
      <c r="D13" s="147" t="s">
        <v>62</v>
      </c>
      <c r="E13" s="157"/>
      <c r="F13" s="157"/>
      <c r="G13" s="157"/>
      <c r="H13" s="148"/>
      <c r="I13" s="149"/>
    </row>
    <row r="14" spans="2:13" x14ac:dyDescent="0.25">
      <c r="B14" s="89" t="s">
        <v>50</v>
      </c>
      <c r="C14" s="115">
        <v>260029</v>
      </c>
      <c r="E14" s="18"/>
      <c r="F14" s="18"/>
      <c r="G14" s="18"/>
    </row>
    <row r="15" spans="2:13" x14ac:dyDescent="0.25">
      <c r="B15" s="89" t="s">
        <v>51</v>
      </c>
      <c r="C15" s="115">
        <v>12556</v>
      </c>
      <c r="E15" s="18"/>
      <c r="F15" s="18"/>
      <c r="G15" s="18"/>
    </row>
    <row r="16" spans="2:13" x14ac:dyDescent="0.25">
      <c r="B16" s="89" t="s">
        <v>52</v>
      </c>
      <c r="C16" s="115">
        <v>13033</v>
      </c>
      <c r="E16" s="18"/>
      <c r="F16" s="18"/>
      <c r="G16" s="18"/>
    </row>
    <row r="17" spans="2:23" x14ac:dyDescent="0.25">
      <c r="B17" s="89" t="s">
        <v>53</v>
      </c>
      <c r="C17" s="115">
        <v>23752</v>
      </c>
      <c r="E17" s="18"/>
      <c r="F17" s="18"/>
      <c r="G17" s="18"/>
    </row>
    <row r="18" spans="2:23" x14ac:dyDescent="0.25">
      <c r="B18" s="89" t="s">
        <v>54</v>
      </c>
      <c r="C18" s="115">
        <v>23658</v>
      </c>
      <c r="E18" s="18"/>
      <c r="F18" s="18"/>
      <c r="G18" s="18"/>
    </row>
    <row r="19" spans="2:23" x14ac:dyDescent="0.25">
      <c r="B19" s="89" t="s">
        <v>55</v>
      </c>
      <c r="C19" s="115">
        <v>31766</v>
      </c>
      <c r="E19" s="18"/>
      <c r="F19" s="18"/>
      <c r="G19" s="18"/>
    </row>
    <row r="20" spans="2:23" x14ac:dyDescent="0.25">
      <c r="B20" s="89" t="s">
        <v>56</v>
      </c>
      <c r="C20" s="115">
        <v>48498</v>
      </c>
      <c r="E20" s="18"/>
      <c r="F20" s="18"/>
      <c r="G20" s="18"/>
    </row>
    <row r="21" spans="2:23" x14ac:dyDescent="0.25">
      <c r="B21" s="89" t="s">
        <v>57</v>
      </c>
      <c r="C21" s="115">
        <v>36356</v>
      </c>
      <c r="E21" s="18"/>
      <c r="F21" s="18"/>
      <c r="G21" s="18"/>
    </row>
    <row r="22" spans="2:23" x14ac:dyDescent="0.25">
      <c r="B22" s="89" t="s">
        <v>58</v>
      </c>
      <c r="C22" s="115">
        <v>41524</v>
      </c>
      <c r="E22" s="18"/>
      <c r="F22" s="18"/>
      <c r="G22" s="18"/>
    </row>
    <row r="23" spans="2:23" x14ac:dyDescent="0.25">
      <c r="B23" s="89" t="s">
        <v>59</v>
      </c>
      <c r="C23" s="115">
        <v>14643</v>
      </c>
      <c r="E23" s="18"/>
      <c r="F23" s="18"/>
      <c r="G23" s="18"/>
    </row>
    <row r="24" spans="2:23" x14ac:dyDescent="0.25">
      <c r="B24" s="89" t="s">
        <v>60</v>
      </c>
      <c r="C24" s="115">
        <v>14243</v>
      </c>
      <c r="E24" s="18"/>
      <c r="F24" s="18"/>
      <c r="G24" s="18"/>
    </row>
    <row r="25" spans="2:23" x14ac:dyDescent="0.25">
      <c r="B25" s="89" t="s">
        <v>61</v>
      </c>
      <c r="C25" s="90">
        <v>61973</v>
      </c>
      <c r="E25" s="18"/>
      <c r="F25" s="18"/>
      <c r="G25" s="18"/>
    </row>
    <row r="26" spans="2:23" x14ac:dyDescent="0.25">
      <c r="E26" s="18"/>
      <c r="F26" s="18"/>
      <c r="G26" s="18"/>
    </row>
    <row r="27" spans="2:23" x14ac:dyDescent="0.25">
      <c r="B27" t="s">
        <v>120</v>
      </c>
      <c r="E27" s="18"/>
      <c r="F27" s="18"/>
      <c r="G27" s="18"/>
    </row>
    <row r="28" spans="2:23" x14ac:dyDescent="0.25">
      <c r="B28" s="85"/>
      <c r="C28" s="20"/>
      <c r="E28" s="18"/>
      <c r="F28" s="18"/>
      <c r="G28" s="18"/>
    </row>
    <row r="29" spans="2:23" x14ac:dyDescent="0.25">
      <c r="B29" s="85"/>
      <c r="D29" s="161" t="s">
        <v>48</v>
      </c>
      <c r="E29" s="161" t="s">
        <v>49</v>
      </c>
      <c r="F29" s="161" t="s">
        <v>65</v>
      </c>
      <c r="G29" s="162" t="s">
        <v>63</v>
      </c>
    </row>
    <row r="30" spans="2:23" x14ac:dyDescent="0.25">
      <c r="B30" s="163"/>
      <c r="C30" s="165" t="s">
        <v>80</v>
      </c>
      <c r="D30" s="90">
        <f>1.38*C10</f>
        <v>26264.159999999996</v>
      </c>
      <c r="E30" s="90">
        <f>2*C10</f>
        <v>38064</v>
      </c>
      <c r="F30" s="90">
        <f>2.5*C10</f>
        <v>47580</v>
      </c>
      <c r="G30" s="166" t="s">
        <v>82</v>
      </c>
      <c r="H30" s="152"/>
    </row>
    <row r="31" spans="2:23" x14ac:dyDescent="0.25">
      <c r="B31" s="147"/>
      <c r="C31" s="165" t="s">
        <v>77</v>
      </c>
      <c r="D31" s="142">
        <f>C15+C16+C17+((1/10)*C18)</f>
        <v>51706.8</v>
      </c>
      <c r="E31" s="142">
        <f>(0.9*C18)+((2/15)*C19)</f>
        <v>25527.666666666668</v>
      </c>
      <c r="F31" s="142">
        <f>0.8*C19</f>
        <v>25412.800000000003</v>
      </c>
      <c r="G31" s="150" t="s">
        <v>132</v>
      </c>
      <c r="H31" s="151"/>
      <c r="I31" s="151"/>
      <c r="J31" s="151"/>
      <c r="K31" s="152"/>
    </row>
    <row r="32" spans="2:23" x14ac:dyDescent="0.25">
      <c r="B32" s="147"/>
      <c r="C32" s="165" t="s">
        <v>76</v>
      </c>
      <c r="D32" s="72">
        <v>1110</v>
      </c>
      <c r="E32" s="72">
        <v>2680</v>
      </c>
      <c r="F32" s="72">
        <v>3410</v>
      </c>
      <c r="G32" s="170" t="s">
        <v>83</v>
      </c>
      <c r="H32" s="148"/>
      <c r="I32" s="148"/>
      <c r="J32" s="148"/>
      <c r="K32" s="148"/>
      <c r="L32" s="148"/>
      <c r="M32" s="148"/>
      <c r="N32" s="148"/>
      <c r="O32" s="148"/>
      <c r="P32" s="148"/>
      <c r="Q32" s="148"/>
      <c r="R32" s="148"/>
      <c r="S32" s="148"/>
      <c r="T32" s="148"/>
      <c r="U32" s="148"/>
      <c r="V32" s="148"/>
      <c r="W32" s="149"/>
    </row>
    <row r="33" spans="2:11" x14ac:dyDescent="0.25">
      <c r="B33" s="147"/>
      <c r="C33" s="165" t="s">
        <v>81</v>
      </c>
      <c r="D33" s="72">
        <f>D32*2.4</f>
        <v>2664</v>
      </c>
      <c r="E33" s="72">
        <f t="shared" ref="E33:F33" si="0">E32*2.4</f>
        <v>6432</v>
      </c>
      <c r="F33" s="72">
        <f t="shared" si="0"/>
        <v>8184</v>
      </c>
      <c r="G33" s="168" t="s">
        <v>84</v>
      </c>
      <c r="H33" s="146"/>
      <c r="I33" s="169"/>
    </row>
    <row r="34" spans="2:11" x14ac:dyDescent="0.25">
      <c r="B34" s="147"/>
      <c r="C34" s="165" t="s">
        <v>87</v>
      </c>
      <c r="D34" s="72">
        <f>D33*D31</f>
        <v>137746915.20000002</v>
      </c>
      <c r="E34" s="72">
        <f t="shared" ref="E34:F34" si="1">E33*E31</f>
        <v>164193952</v>
      </c>
      <c r="F34" s="72">
        <f t="shared" si="1"/>
        <v>207978355.20000002</v>
      </c>
      <c r="G34" s="147" t="s">
        <v>85</v>
      </c>
      <c r="H34" s="148"/>
      <c r="I34" s="167"/>
      <c r="J34" s="30"/>
    </row>
    <row r="35" spans="2:11" x14ac:dyDescent="0.25">
      <c r="I35" s="30"/>
      <c r="J35" s="30"/>
    </row>
    <row r="36" spans="2:11" x14ac:dyDescent="0.25">
      <c r="B36" s="147"/>
      <c r="C36" s="172"/>
      <c r="D36" s="148"/>
      <c r="E36" s="164" t="s">
        <v>86</v>
      </c>
      <c r="F36" s="72">
        <f>D34+E34+F34</f>
        <v>509919222.4000001</v>
      </c>
      <c r="G36" s="147" t="s">
        <v>89</v>
      </c>
      <c r="H36" s="148"/>
      <c r="I36" s="167"/>
      <c r="J36" s="30"/>
    </row>
    <row r="37" spans="2:11" x14ac:dyDescent="0.25">
      <c r="I37" s="84"/>
      <c r="J37" s="84"/>
    </row>
    <row r="38" spans="2:11" x14ac:dyDescent="0.25">
      <c r="B38" s="147"/>
      <c r="C38" s="172"/>
      <c r="D38" s="148"/>
      <c r="E38" s="173" t="s">
        <v>88</v>
      </c>
      <c r="F38" s="174">
        <f>F36/C5</f>
        <v>7.919230041931978E-2</v>
      </c>
      <c r="G38" s="147" t="s">
        <v>90</v>
      </c>
      <c r="H38" s="148"/>
      <c r="I38" s="171"/>
      <c r="J38" s="171"/>
      <c r="K38" s="149"/>
    </row>
    <row r="40" spans="2:11" x14ac:dyDescent="0.25">
      <c r="E40" s="30"/>
    </row>
    <row r="41" spans="2:11" x14ac:dyDescent="0.25">
      <c r="G41" s="86"/>
    </row>
    <row r="42" spans="2:11" x14ac:dyDescent="0.25">
      <c r="E42" s="30"/>
    </row>
    <row r="43" spans="2:11" x14ac:dyDescent="0.25">
      <c r="I43" s="30"/>
    </row>
    <row r="60" spans="2:3" x14ac:dyDescent="0.25">
      <c r="C60" s="30" t="s">
        <v>63</v>
      </c>
    </row>
    <row r="61" spans="2:3" x14ac:dyDescent="0.25">
      <c r="B61" t="s">
        <v>64</v>
      </c>
    </row>
    <row r="63" spans="2:3" x14ac:dyDescent="0.25">
      <c r="B63" t="s">
        <v>20</v>
      </c>
    </row>
    <row r="64" spans="2:3" x14ac:dyDescent="0.25">
      <c r="B64" t="s">
        <v>18</v>
      </c>
    </row>
    <row r="65" spans="2:2" x14ac:dyDescent="0.25">
      <c r="B65" t="s">
        <v>21</v>
      </c>
    </row>
    <row r="66" spans="2:2" x14ac:dyDescent="0.25">
      <c r="B66" t="s">
        <v>19</v>
      </c>
    </row>
    <row r="67" spans="2:2" x14ac:dyDescent="0.25">
      <c r="B67" t="s">
        <v>22</v>
      </c>
    </row>
    <row r="68" spans="2:2" x14ac:dyDescent="0.25">
      <c r="B68" t="s">
        <v>34</v>
      </c>
    </row>
  </sheetData>
  <phoneticPr fontId="3" type="noConversion"/>
  <hyperlinks>
    <hyperlink ref="G32" r:id="rId1" xr:uid="{E6346148-C650-40B3-85AB-DDCBE914B28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Sales Tax rate calculator</vt:lpstr>
      <vt:lpstr>Provider Tax rate calculator</vt:lpstr>
      <vt:lpstr>LIV Health Care % Calculation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Bram Kleppner</dc:creator>
  <cp:lastModifiedBy>Sean Sheehan</cp:lastModifiedBy>
  <dcterms:created xsi:type="dcterms:W3CDTF">2020-10-08T10:57:45Z</dcterms:created>
  <dcterms:modified xsi:type="dcterms:W3CDTF">2021-01-30T21:54:37Z</dcterms:modified>
</cp:coreProperties>
</file>